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ia\Desktop\7 აპრილის  დადგენილებები\7 აპრილის დადგენილებები ასატვირთი\11 მერიის საშტატო\"/>
    </mc:Choice>
  </mc:AlternateContent>
  <bookViews>
    <workbookView xWindow="0" yWindow="0" windowWidth="25200" windowHeight="11985" tabRatio="879" firstSheet="2" activeTab="2"/>
  </bookViews>
  <sheets>
    <sheet name="სხვაობა ჯამური" sheetId="42" state="hidden" r:id="rId1"/>
    <sheet name="Лист3" sheetId="47" state="hidden" r:id="rId2"/>
    <sheet name="პროექტი (2)" sheetId="50" r:id="rId3"/>
    <sheet name="არსებული ბაღები" sheetId="48" state="hidden" r:id="rId4"/>
    <sheet name="Лист1" sheetId="45" state="hidden" r:id="rId5"/>
    <sheet name="აიპების ბიუჯეტი" sheetId="29" state="hidden" r:id="rId6"/>
    <sheet name="Лист2" sheetId="46" state="hidden" r:id="rId7"/>
    <sheet name="transregulirebis uwyisis" sheetId="36" state="hidden" r:id="rId8"/>
    <sheet name="კულტურის ცენტრის ზრდა" sheetId="38" state="hidden" r:id="rId9"/>
  </sheets>
  <externalReferences>
    <externalReference r:id="rId10"/>
    <externalReference r:id="rId11"/>
    <externalReference r:id="rId12"/>
    <externalReference r:id="rId13"/>
  </externalReferences>
  <definedNames>
    <definedName name="_xlnm._FilterDatabase" localSheetId="2" hidden="1">'პროექტი (2)'!$A$5:$H$153</definedName>
    <definedName name="aaaaaaa" localSheetId="2">#REF!</definedName>
    <definedName name="aaaaaaa">#REF!</definedName>
    <definedName name="aq">[1]НДС!$X$4:$AA$4</definedName>
    <definedName name="as" localSheetId="2">#REF!</definedName>
    <definedName name="as">#REF!</definedName>
    <definedName name="bbbbb">[2]реестри!$F$62</definedName>
    <definedName name="cek" localSheetId="2">#REF!</definedName>
    <definedName name="cek">#REF!</definedName>
    <definedName name="charbi" localSheetId="2">#REF!</definedName>
    <definedName name="charbi">#REF!</definedName>
    <definedName name="cul" localSheetId="2">#REF!</definedName>
    <definedName name="cul">#REF!</definedName>
    <definedName name="dfgdfh" localSheetId="2">#REF!</definedName>
    <definedName name="dfgdfh">#REF!</definedName>
    <definedName name="dfgfd" localSheetId="2">#REF!</definedName>
    <definedName name="dfgfd">#REF!</definedName>
    <definedName name="dfghfgh" localSheetId="2">#REF!</definedName>
    <definedName name="dfghfgh">#REF!</definedName>
    <definedName name="dfgsdf" localSheetId="2">#REF!</definedName>
    <definedName name="dfgsdf">#REF!</definedName>
    <definedName name="djaami" localSheetId="2">#REF!</definedName>
    <definedName name="djaami">#REF!</definedName>
    <definedName name="djam" localSheetId="2">#REF!</definedName>
    <definedName name="djam">#REF!</definedName>
    <definedName name="djanmrte" localSheetId="2">#REF!</definedName>
    <definedName name="djanmrte">#REF!</definedName>
    <definedName name="djjjami" localSheetId="2">#REF!</definedName>
    <definedName name="djjjami">#REF!</definedName>
    <definedName name="ert" localSheetId="2">#REF!</definedName>
    <definedName name="ert">#REF!</definedName>
    <definedName name="fgh" localSheetId="2">#REF!</definedName>
    <definedName name="fgh">#REF!</definedName>
    <definedName name="fhjjjh" localSheetId="2">#REF!</definedName>
    <definedName name="fhjjjh">#REF!</definedName>
    <definedName name="finansta" localSheetId="2">#REF!</definedName>
    <definedName name="finansta">#REF!</definedName>
    <definedName name="forma" localSheetId="2">[3]ФОРМА!#REF!</definedName>
    <definedName name="forma">[3]ФОРМА!#REF!</definedName>
    <definedName name="gard" localSheetId="2">#REF!</definedName>
    <definedName name="gard">#REF!</definedName>
    <definedName name="Garemo" localSheetId="2">#REF!</definedName>
    <definedName name="Garemo">#REF!</definedName>
    <definedName name="hefhfs" localSheetId="2">#REF!</definedName>
    <definedName name="hefhfs">#REF!</definedName>
    <definedName name="Infrastruqtura" localSheetId="2">#REF!</definedName>
    <definedName name="Infrastruqtura">#REF!</definedName>
    <definedName name="iu" localSheetId="2">#REF!</definedName>
    <definedName name="iu">#REF!</definedName>
    <definedName name="JAMI" localSheetId="2">#REF!</definedName>
    <definedName name="JAMI">#REF!</definedName>
    <definedName name="Jand_program" localSheetId="2">#REF!</definedName>
    <definedName name="Jand_program">#REF!</definedName>
    <definedName name="jandacva" localSheetId="2">#REF!</definedName>
    <definedName name="jandacva">#REF!</definedName>
    <definedName name="jlhkj" localSheetId="2">#REF!</definedName>
    <definedName name="jlhkj">#REF!</definedName>
    <definedName name="kapit" localSheetId="2">#REF!</definedName>
    <definedName name="kapit">#REF!</definedName>
    <definedName name="kapm" localSheetId="2">#REF!</definedName>
    <definedName name="kapm">#REF!</definedName>
    <definedName name="khgj" localSheetId="2">#REF!</definedName>
    <definedName name="khgj">#REF!</definedName>
    <definedName name="kultura" localSheetId="2">#REF!</definedName>
    <definedName name="kultura">#REF!</definedName>
    <definedName name="l" localSheetId="2">#REF!</definedName>
    <definedName name="l">#REF!</definedName>
    <definedName name="Mtavroba" localSheetId="2">#REF!</definedName>
    <definedName name="Mtavroba">#REF!</definedName>
    <definedName name="MVD" localSheetId="2">#REF!</definedName>
    <definedName name="MVD">#REF!</definedName>
    <definedName name="nm" localSheetId="2">#REF!</definedName>
    <definedName name="nm">#REF!</definedName>
    <definedName name="Organisation" localSheetId="2">#REF!</definedName>
    <definedName name="Organisation">#REF!</definedName>
    <definedName name="po" localSheetId="2">#REF!</definedName>
    <definedName name="po">#REF!</definedName>
    <definedName name="pp" localSheetId="2">#REF!</definedName>
    <definedName name="pp">#REF!</definedName>
    <definedName name="Print" localSheetId="2">#REF!</definedName>
    <definedName name="Print">#REF!</definedName>
    <definedName name="razmi" localSheetId="2">#REF!</definedName>
    <definedName name="razmi">#REF!</definedName>
    <definedName name="rftjh" localSheetId="2">#REF!</definedName>
    <definedName name="rftjh">#REF!</definedName>
    <definedName name="rty" localSheetId="2">#REF!</definedName>
    <definedName name="rty">#REF!</definedName>
    <definedName name="rtyrtujh" localSheetId="2">#REF!</definedName>
    <definedName name="rtyrtujh">#REF!</definedName>
    <definedName name="sabinao" localSheetId="2">#REF!</definedName>
    <definedName name="sabinao">#REF!</definedName>
    <definedName name="simf" localSheetId="2">#REF!</definedName>
    <definedName name="simf">#REF!</definedName>
    <definedName name="Sofeli" localSheetId="2">#REF!</definedName>
    <definedName name="Sofeli">#REF!</definedName>
    <definedName name="sul" localSheetId="2">#REF!</definedName>
    <definedName name="sul">#REF!</definedName>
    <definedName name="svadasxva" localSheetId="2">#REF!</definedName>
    <definedName name="svadasxva">#REF!</definedName>
    <definedName name="tele" localSheetId="2">#REF!</definedName>
    <definedName name="tele">#REF!</definedName>
    <definedName name="Transferti" localSheetId="2">#REF!</definedName>
    <definedName name="Transferti">#REF!</definedName>
    <definedName name="tyyu" localSheetId="2">#REF!</definedName>
    <definedName name="tyyu">#REF!</definedName>
    <definedName name="uShiSh" localSheetId="2">#REF!</definedName>
    <definedName name="uShiSh">#REF!</definedName>
    <definedName name="xfgu" localSheetId="2">#REF!</definedName>
    <definedName name="xfgu">#REF!</definedName>
    <definedName name="гардамавали" localSheetId="2">#REF!</definedName>
    <definedName name="гардамавали">#REF!</definedName>
    <definedName name="дата" localSheetId="2">#REF!</definedName>
    <definedName name="дата">#REF!</definedName>
    <definedName name="дж" localSheetId="2">#REF!</definedName>
    <definedName name="дж">#REF!</definedName>
    <definedName name="джами" localSheetId="2">#REF!</definedName>
    <definedName name="джами">#REF!</definedName>
    <definedName name="джамртелоба" localSheetId="2">#REF!</definedName>
    <definedName name="джамртелоба">#REF!</definedName>
    <definedName name="итоги">[1]НДС!$H$2</definedName>
    <definedName name="капиталури" localSheetId="2">#REF!</definedName>
    <definedName name="капиталури">#REF!</definedName>
    <definedName name="КАПМШ" localSheetId="2">#REF!</definedName>
    <definedName name="КАПМШ">#REF!</definedName>
    <definedName name="КОДИ" localSheetId="2">#REF!</definedName>
    <definedName name="КОДИ">#REF!</definedName>
    <definedName name="култура" localSheetId="2">#REF!</definedName>
    <definedName name="култура">#REF!</definedName>
    <definedName name="м" localSheetId="2">#REF!</definedName>
    <definedName name="м">#REF!</definedName>
    <definedName name="_xlnm.Print_Area" localSheetId="7">'transregulirebis uwyisis'!$A$1:$L$67</definedName>
    <definedName name="_xlnm.Print_Area" localSheetId="6">Лист2!$A$1:$H$31</definedName>
    <definedName name="_xlnm.Print_Area" localSheetId="1">Лист3!$A$1:$C$21</definedName>
    <definedName name="_xlnm.Print_Area" localSheetId="5">'აიპების ბიუჯეტი'!$A$1:$F$15</definedName>
    <definedName name="_xlnm.Print_Area" localSheetId="3">'არსებული ბაღები'!$A$1:$K$461</definedName>
    <definedName name="_xlnm.Print_Area" localSheetId="2">'პროექტი (2)'!$A$1:$H$153</definedName>
    <definedName name="_xlnm.Print_Area" localSheetId="0">'სხვაობა ჯამური'!$A$1:$Q$64</definedName>
    <definedName name="РАЗМИ" localSheetId="2">#REF!</definedName>
    <definedName name="РАЗМИ">#REF!</definedName>
    <definedName name="с3">[1]НДС!$D$3</definedName>
    <definedName name="сабинао" localSheetId="2">#REF!</definedName>
    <definedName name="сабинао">#REF!</definedName>
    <definedName name="сссс" localSheetId="2">#REF!</definedName>
    <definedName name="сссс">#REF!</definedName>
    <definedName name="сул" localSheetId="2">#REF!</definedName>
    <definedName name="сул">#REF!</definedName>
    <definedName name="ТЕЛЕ" localSheetId="2">#REF!</definedName>
    <definedName name="ТЕЛЕ">#REF!</definedName>
    <definedName name="трансф" localSheetId="2">#REF!</definedName>
    <definedName name="трансф">#REF!</definedName>
    <definedName name="УШИШ" localSheetId="2">#REF!</definedName>
    <definedName name="УШИШ">#REF!</definedName>
    <definedName name="ф" localSheetId="2">#REF!</definedName>
    <definedName name="ф">#REF!</definedName>
    <definedName name="фв2">[1]НДС!$C$2</definedName>
    <definedName name="Форма" localSheetId="2">[4]ФОРМА!#REF!</definedName>
    <definedName name="Форма">[4]ФОРМА!#REF!</definedName>
    <definedName name="ЧАРБИ" localSheetId="2">#REF!</definedName>
    <definedName name="ЧАРБИ">#REF!</definedName>
  </definedNames>
  <calcPr calcId="152511"/>
</workbook>
</file>

<file path=xl/calcChain.xml><?xml version="1.0" encoding="utf-8"?>
<calcChain xmlns="http://schemas.openxmlformats.org/spreadsheetml/2006/main">
  <c r="E79" i="50" l="1"/>
  <c r="E76" i="50" s="1"/>
  <c r="E62" i="50"/>
  <c r="E56" i="50" s="1"/>
  <c r="F152" i="50" l="1"/>
  <c r="E152" i="50"/>
  <c r="F151" i="50"/>
  <c r="F149" i="50"/>
  <c r="F148" i="50"/>
  <c r="F146" i="50"/>
  <c r="F145" i="50"/>
  <c r="F143" i="50"/>
  <c r="F142" i="50"/>
  <c r="F140" i="50"/>
  <c r="F139" i="50"/>
  <c r="F137" i="50"/>
  <c r="F136" i="50"/>
  <c r="F134" i="50"/>
  <c r="F133" i="50"/>
  <c r="F131" i="50"/>
  <c r="E131" i="50"/>
  <c r="F130" i="50"/>
  <c r="F128" i="50"/>
  <c r="F127" i="50"/>
  <c r="F125" i="50"/>
  <c r="F124" i="50"/>
  <c r="F122" i="50"/>
  <c r="F121" i="50"/>
  <c r="F119" i="50"/>
  <c r="F118" i="50"/>
  <c r="F116" i="50"/>
  <c r="F115" i="50"/>
  <c r="F113" i="50"/>
  <c r="F112" i="50"/>
  <c r="F110" i="50"/>
  <c r="F109" i="50"/>
  <c r="F107" i="50"/>
  <c r="F106" i="50"/>
  <c r="F104" i="50"/>
  <c r="F103" i="50"/>
  <c r="F101" i="50"/>
  <c r="F100" i="50"/>
  <c r="F98" i="50"/>
  <c r="F97" i="50"/>
  <c r="F95" i="50"/>
  <c r="F94" i="50"/>
  <c r="F92" i="50"/>
  <c r="F91" i="50"/>
  <c r="F89" i="50"/>
  <c r="F88" i="50"/>
  <c r="F86" i="50"/>
  <c r="E86" i="50"/>
  <c r="F85" i="50"/>
  <c r="F82" i="50"/>
  <c r="F81" i="50"/>
  <c r="F80" i="50"/>
  <c r="F78" i="50"/>
  <c r="F77" i="50"/>
  <c r="F75" i="50"/>
  <c r="F74" i="50"/>
  <c r="F73" i="50"/>
  <c r="E72" i="50"/>
  <c r="E65" i="50" s="1"/>
  <c r="F71" i="50"/>
  <c r="F70" i="50"/>
  <c r="F69" i="50"/>
  <c r="F68" i="50"/>
  <c r="F67" i="50"/>
  <c r="F66" i="50"/>
  <c r="F64" i="50"/>
  <c r="F63" i="50"/>
  <c r="F61" i="50"/>
  <c r="F60" i="50"/>
  <c r="F59" i="50"/>
  <c r="F58" i="50"/>
  <c r="F57" i="50"/>
  <c r="F53" i="50"/>
  <c r="F55" i="50"/>
  <c r="F54" i="50"/>
  <c r="E54" i="50"/>
  <c r="F52" i="50"/>
  <c r="F51" i="50"/>
  <c r="F49" i="50"/>
  <c r="F48" i="50"/>
  <c r="E48" i="50"/>
  <c r="G48" i="50" s="1"/>
  <c r="F47" i="50"/>
  <c r="F45" i="50"/>
  <c r="E45" i="50"/>
  <c r="F44" i="50"/>
  <c r="F43" i="50"/>
  <c r="F42" i="50"/>
  <c r="F40" i="50"/>
  <c r="F39" i="50"/>
  <c r="F38" i="50"/>
  <c r="F37" i="50"/>
  <c r="F35" i="50"/>
  <c r="F34" i="50"/>
  <c r="E33" i="50"/>
  <c r="F32" i="50"/>
  <c r="F31" i="50"/>
  <c r="E30" i="50"/>
  <c r="F29" i="50"/>
  <c r="E28" i="50"/>
  <c r="F27" i="50"/>
  <c r="F26" i="50"/>
  <c r="F25" i="50"/>
  <c r="E24" i="50"/>
  <c r="F23" i="50"/>
  <c r="E23" i="50"/>
  <c r="E21" i="50" s="1"/>
  <c r="F22" i="50"/>
  <c r="F20" i="50"/>
  <c r="F19" i="50"/>
  <c r="E19" i="50"/>
  <c r="E17" i="50" s="1"/>
  <c r="F18" i="50"/>
  <c r="F16" i="50"/>
  <c r="F15" i="50"/>
  <c r="E14" i="50"/>
  <c r="F13" i="50"/>
  <c r="F12" i="50"/>
  <c r="F11" i="50"/>
  <c r="E10" i="50"/>
  <c r="F9" i="50"/>
  <c r="F7" i="50"/>
  <c r="G7" i="50" s="1"/>
  <c r="F6" i="50"/>
  <c r="G6" i="50" s="1"/>
  <c r="F5" i="50"/>
  <c r="G5" i="50" s="1"/>
  <c r="E4" i="50"/>
  <c r="E46" i="50" l="1"/>
  <c r="G45" i="50"/>
  <c r="G149" i="50"/>
  <c r="G73" i="50"/>
  <c r="G43" i="50"/>
  <c r="G26" i="50"/>
  <c r="G39" i="50"/>
  <c r="G58" i="50"/>
  <c r="G68" i="50"/>
  <c r="G104" i="50"/>
  <c r="G110" i="50"/>
  <c r="G122" i="50"/>
  <c r="G133" i="50"/>
  <c r="G139" i="50"/>
  <c r="G145" i="50"/>
  <c r="G11" i="50"/>
  <c r="G15" i="50"/>
  <c r="G27" i="50"/>
  <c r="G31" i="50"/>
  <c r="G35" i="50"/>
  <c r="G40" i="50"/>
  <c r="G44" i="50"/>
  <c r="G47" i="50"/>
  <c r="G51" i="50"/>
  <c r="G55" i="50"/>
  <c r="G59" i="50"/>
  <c r="G64" i="50"/>
  <c r="G69" i="50"/>
  <c r="G77" i="50"/>
  <c r="G82" i="50"/>
  <c r="G88" i="50"/>
  <c r="G94" i="50"/>
  <c r="G100" i="50"/>
  <c r="G106" i="50"/>
  <c r="G112" i="50"/>
  <c r="G118" i="50"/>
  <c r="G124" i="50"/>
  <c r="G130" i="50"/>
  <c r="G134" i="50"/>
  <c r="G140" i="50"/>
  <c r="G146" i="50"/>
  <c r="G151" i="50"/>
  <c r="G49" i="50"/>
  <c r="G63" i="50"/>
  <c r="G75" i="50"/>
  <c r="G98" i="50"/>
  <c r="G128" i="50"/>
  <c r="G32" i="50"/>
  <c r="G37" i="50"/>
  <c r="G42" i="50"/>
  <c r="G52" i="50"/>
  <c r="G53" i="50"/>
  <c r="G60" i="50"/>
  <c r="G66" i="50"/>
  <c r="G70" i="50"/>
  <c r="G78" i="50"/>
  <c r="G85" i="50"/>
  <c r="G89" i="50"/>
  <c r="G95" i="50"/>
  <c r="G101" i="50"/>
  <c r="G107" i="50"/>
  <c r="G113" i="50"/>
  <c r="G119" i="50"/>
  <c r="G125" i="50"/>
  <c r="G131" i="50"/>
  <c r="G136" i="50"/>
  <c r="G142" i="50"/>
  <c r="G148" i="50"/>
  <c r="G34" i="50"/>
  <c r="G81" i="50"/>
  <c r="G92" i="50"/>
  <c r="G116" i="50"/>
  <c r="G12" i="50"/>
  <c r="G16" i="50"/>
  <c r="G20" i="50"/>
  <c r="G9" i="50"/>
  <c r="G13" i="50"/>
  <c r="G18" i="50"/>
  <c r="G22" i="50"/>
  <c r="G25" i="50"/>
  <c r="G29" i="50"/>
  <c r="G38" i="50"/>
  <c r="G57" i="50"/>
  <c r="G61" i="50"/>
  <c r="G67" i="50"/>
  <c r="G71" i="50"/>
  <c r="G74" i="50"/>
  <c r="G80" i="50"/>
  <c r="G86" i="50"/>
  <c r="G91" i="50"/>
  <c r="G97" i="50"/>
  <c r="G103" i="50"/>
  <c r="G109" i="50"/>
  <c r="G115" i="50"/>
  <c r="G121" i="50"/>
  <c r="G127" i="50"/>
  <c r="G137" i="50"/>
  <c r="G143" i="50"/>
  <c r="G4" i="50"/>
  <c r="G54" i="50"/>
  <c r="G23" i="50"/>
  <c r="E50" i="50"/>
  <c r="G152" i="50"/>
  <c r="E8" i="50"/>
  <c r="E83" i="50"/>
  <c r="G19" i="50"/>
  <c r="E41" i="50"/>
  <c r="E36" i="50" s="1"/>
  <c r="G76" i="50" l="1"/>
  <c r="G28" i="50"/>
  <c r="G36" i="50"/>
  <c r="G56" i="50"/>
  <c r="G50" i="50"/>
  <c r="G65" i="50"/>
  <c r="G83" i="50"/>
  <c r="G8" i="50"/>
  <c r="E153" i="50"/>
  <c r="G153" i="50" l="1"/>
  <c r="F458" i="48"/>
  <c r="E458" i="48"/>
  <c r="C458" i="48"/>
  <c r="J458" i="48" s="1"/>
  <c r="D452" i="48"/>
  <c r="J451" i="48"/>
  <c r="F451" i="48"/>
  <c r="H451" i="48" s="1"/>
  <c r="E451" i="48"/>
  <c r="J450" i="48"/>
  <c r="F450" i="48"/>
  <c r="E450" i="48"/>
  <c r="J449" i="48"/>
  <c r="F449" i="48"/>
  <c r="H449" i="48" s="1"/>
  <c r="E449" i="48"/>
  <c r="J448" i="48"/>
  <c r="F448" i="48"/>
  <c r="K448" i="48" s="1"/>
  <c r="E448" i="48"/>
  <c r="J447" i="48"/>
  <c r="F447" i="48"/>
  <c r="H447" i="48" s="1"/>
  <c r="E447" i="48"/>
  <c r="J446" i="48"/>
  <c r="F446" i="48"/>
  <c r="E446" i="48"/>
  <c r="J445" i="48"/>
  <c r="F445" i="48"/>
  <c r="H445" i="48" s="1"/>
  <c r="E445" i="48"/>
  <c r="J444" i="48"/>
  <c r="F444" i="48"/>
  <c r="K444" i="48" s="1"/>
  <c r="E444" i="48"/>
  <c r="K443" i="48"/>
  <c r="H443" i="48"/>
  <c r="G443" i="48"/>
  <c r="E443" i="48"/>
  <c r="K442" i="48"/>
  <c r="H442" i="48"/>
  <c r="G442" i="48"/>
  <c r="E442" i="48"/>
  <c r="K441" i="48"/>
  <c r="J441" i="48"/>
  <c r="H441" i="48"/>
  <c r="G441" i="48"/>
  <c r="I441" i="48" s="1"/>
  <c r="E441" i="48"/>
  <c r="J440" i="48"/>
  <c r="F440" i="48"/>
  <c r="H440" i="48" s="1"/>
  <c r="E440" i="48"/>
  <c r="J439" i="48"/>
  <c r="F439" i="48"/>
  <c r="E439" i="48"/>
  <c r="C437" i="48"/>
  <c r="J436" i="48"/>
  <c r="F436" i="48"/>
  <c r="K436" i="48" s="1"/>
  <c r="E436" i="48"/>
  <c r="J435" i="48"/>
  <c r="F435" i="48"/>
  <c r="H435" i="48" s="1"/>
  <c r="E435" i="48"/>
  <c r="J434" i="48"/>
  <c r="F434" i="48"/>
  <c r="E434" i="48"/>
  <c r="J433" i="48"/>
  <c r="F433" i="48"/>
  <c r="H433" i="48" s="1"/>
  <c r="E433" i="48"/>
  <c r="J432" i="48"/>
  <c r="F432" i="48"/>
  <c r="K432" i="48" s="1"/>
  <c r="E432" i="48"/>
  <c r="J431" i="48"/>
  <c r="F431" i="48"/>
  <c r="H431" i="48" s="1"/>
  <c r="E431" i="48"/>
  <c r="J430" i="48"/>
  <c r="F430" i="48"/>
  <c r="E430" i="48"/>
  <c r="J429" i="48"/>
  <c r="F429" i="48"/>
  <c r="H429" i="48" s="1"/>
  <c r="E429" i="48"/>
  <c r="K428" i="48"/>
  <c r="H428" i="48"/>
  <c r="G428" i="48"/>
  <c r="E428" i="48"/>
  <c r="K427" i="48"/>
  <c r="H427" i="48"/>
  <c r="G427" i="48"/>
  <c r="E427" i="48"/>
  <c r="K426" i="48"/>
  <c r="J426" i="48"/>
  <c r="H426" i="48"/>
  <c r="G426" i="48"/>
  <c r="E426" i="48"/>
  <c r="J425" i="48"/>
  <c r="F425" i="48"/>
  <c r="K425" i="48" s="1"/>
  <c r="E425" i="48"/>
  <c r="J424" i="48"/>
  <c r="F424" i="48"/>
  <c r="H424" i="48" s="1"/>
  <c r="E424" i="48"/>
  <c r="C422" i="48"/>
  <c r="J421" i="48"/>
  <c r="F421" i="48"/>
  <c r="H421" i="48" s="1"/>
  <c r="E421" i="48"/>
  <c r="J420" i="48"/>
  <c r="F420" i="48"/>
  <c r="K420" i="48" s="1"/>
  <c r="E420" i="48"/>
  <c r="J419" i="48"/>
  <c r="F419" i="48"/>
  <c r="H419" i="48" s="1"/>
  <c r="E419" i="48"/>
  <c r="J418" i="48"/>
  <c r="F418" i="48"/>
  <c r="E418" i="48"/>
  <c r="J417" i="48"/>
  <c r="F417" i="48"/>
  <c r="H417" i="48" s="1"/>
  <c r="E417" i="48"/>
  <c r="J416" i="48"/>
  <c r="F416" i="48"/>
  <c r="K416" i="48" s="1"/>
  <c r="E416" i="48"/>
  <c r="J415" i="48"/>
  <c r="F415" i="48"/>
  <c r="H415" i="48" s="1"/>
  <c r="E415" i="48"/>
  <c r="J414" i="48"/>
  <c r="F414" i="48"/>
  <c r="E414" i="48"/>
  <c r="K413" i="48"/>
  <c r="H413" i="48"/>
  <c r="G413" i="48"/>
  <c r="E413" i="48"/>
  <c r="K412" i="48"/>
  <c r="H412" i="48"/>
  <c r="G412" i="48"/>
  <c r="E412" i="48"/>
  <c r="K411" i="48"/>
  <c r="J411" i="48"/>
  <c r="H411" i="48"/>
  <c r="G411" i="48"/>
  <c r="E411" i="48"/>
  <c r="J410" i="48"/>
  <c r="F410" i="48"/>
  <c r="H410" i="48" s="1"/>
  <c r="E410" i="48"/>
  <c r="J409" i="48"/>
  <c r="F409" i="48"/>
  <c r="K409" i="48" s="1"/>
  <c r="E409" i="48"/>
  <c r="C407" i="48"/>
  <c r="J406" i="48"/>
  <c r="F406" i="48"/>
  <c r="E406" i="48"/>
  <c r="J405" i="48"/>
  <c r="F405" i="48"/>
  <c r="H405" i="48" s="1"/>
  <c r="E405" i="48"/>
  <c r="J404" i="48"/>
  <c r="F404" i="48"/>
  <c r="K404" i="48" s="1"/>
  <c r="E404" i="48"/>
  <c r="J403" i="48"/>
  <c r="F403" i="48"/>
  <c r="H403" i="48" s="1"/>
  <c r="E403" i="48"/>
  <c r="J402" i="48"/>
  <c r="F402" i="48"/>
  <c r="E402" i="48"/>
  <c r="J401" i="48"/>
  <c r="F401" i="48"/>
  <c r="H401" i="48" s="1"/>
  <c r="E401" i="48"/>
  <c r="J400" i="48"/>
  <c r="F400" i="48"/>
  <c r="K400" i="48" s="1"/>
  <c r="E400" i="48"/>
  <c r="J399" i="48"/>
  <c r="F399" i="48"/>
  <c r="H399" i="48" s="1"/>
  <c r="E399" i="48"/>
  <c r="K398" i="48"/>
  <c r="H398" i="48"/>
  <c r="G398" i="48"/>
  <c r="E398" i="48"/>
  <c r="K397" i="48"/>
  <c r="H397" i="48"/>
  <c r="G397" i="48"/>
  <c r="E397" i="48"/>
  <c r="K396" i="48"/>
  <c r="J396" i="48"/>
  <c r="H396" i="48"/>
  <c r="G396" i="48"/>
  <c r="E396" i="48"/>
  <c r="J395" i="48"/>
  <c r="F395" i="48"/>
  <c r="E395" i="48"/>
  <c r="J394" i="48"/>
  <c r="F394" i="48"/>
  <c r="H394" i="48" s="1"/>
  <c r="E394" i="48"/>
  <c r="C392" i="48"/>
  <c r="J391" i="48"/>
  <c r="F391" i="48"/>
  <c r="H391" i="48" s="1"/>
  <c r="E391" i="48"/>
  <c r="J390" i="48"/>
  <c r="F390" i="48"/>
  <c r="E390" i="48"/>
  <c r="J389" i="48"/>
  <c r="F389" i="48"/>
  <c r="H389" i="48" s="1"/>
  <c r="E389" i="48"/>
  <c r="J388" i="48"/>
  <c r="F388" i="48"/>
  <c r="K388" i="48" s="1"/>
  <c r="E388" i="48"/>
  <c r="J387" i="48"/>
  <c r="F387" i="48"/>
  <c r="H387" i="48" s="1"/>
  <c r="E387" i="48"/>
  <c r="J386" i="48"/>
  <c r="F386" i="48"/>
  <c r="E386" i="48"/>
  <c r="J385" i="48"/>
  <c r="F385" i="48"/>
  <c r="H385" i="48" s="1"/>
  <c r="E385" i="48"/>
  <c r="K384" i="48"/>
  <c r="H384" i="48"/>
  <c r="G384" i="48"/>
  <c r="E384" i="48"/>
  <c r="K383" i="48"/>
  <c r="H383" i="48"/>
  <c r="G383" i="48"/>
  <c r="E383" i="48"/>
  <c r="K382" i="48"/>
  <c r="J382" i="48"/>
  <c r="H382" i="48"/>
  <c r="G382" i="48"/>
  <c r="E382" i="48"/>
  <c r="J381" i="48"/>
  <c r="F381" i="48"/>
  <c r="K381" i="48" s="1"/>
  <c r="E381" i="48"/>
  <c r="J380" i="48"/>
  <c r="F380" i="48"/>
  <c r="H380" i="48" s="1"/>
  <c r="E380" i="48"/>
  <c r="C378" i="48"/>
  <c r="J377" i="48"/>
  <c r="F377" i="48"/>
  <c r="H377" i="48" s="1"/>
  <c r="E377" i="48"/>
  <c r="J376" i="48"/>
  <c r="F376" i="48"/>
  <c r="K376" i="48" s="1"/>
  <c r="E376" i="48"/>
  <c r="J375" i="48"/>
  <c r="F375" i="48"/>
  <c r="H375" i="48" s="1"/>
  <c r="E375" i="48"/>
  <c r="F374" i="48"/>
  <c r="E374" i="48"/>
  <c r="C374" i="48"/>
  <c r="J374" i="48" s="1"/>
  <c r="F373" i="48"/>
  <c r="E373" i="48"/>
  <c r="C373" i="48"/>
  <c r="J373" i="48" s="1"/>
  <c r="J372" i="48"/>
  <c r="F372" i="48"/>
  <c r="E372" i="48"/>
  <c r="J371" i="48"/>
  <c r="F371" i="48"/>
  <c r="H371" i="48" s="1"/>
  <c r="E371" i="48"/>
  <c r="J370" i="48"/>
  <c r="F370" i="48"/>
  <c r="K370" i="48" s="1"/>
  <c r="E370" i="48"/>
  <c r="K369" i="48"/>
  <c r="H369" i="48"/>
  <c r="G369" i="48"/>
  <c r="E369" i="48"/>
  <c r="K368" i="48"/>
  <c r="H368" i="48"/>
  <c r="G368" i="48"/>
  <c r="E368" i="48"/>
  <c r="H367" i="48"/>
  <c r="G367" i="48"/>
  <c r="E367" i="48"/>
  <c r="C367" i="48"/>
  <c r="J366" i="48"/>
  <c r="F366" i="48"/>
  <c r="K366" i="48" s="1"/>
  <c r="E366" i="48"/>
  <c r="J365" i="48"/>
  <c r="F365" i="48"/>
  <c r="H365" i="48" s="1"/>
  <c r="E365" i="48"/>
  <c r="J362" i="48"/>
  <c r="F362" i="48"/>
  <c r="H362" i="48" s="1"/>
  <c r="E362" i="48"/>
  <c r="J361" i="48"/>
  <c r="F361" i="48"/>
  <c r="K361" i="48" s="1"/>
  <c r="E361" i="48"/>
  <c r="J360" i="48"/>
  <c r="F360" i="48"/>
  <c r="H360" i="48" s="1"/>
  <c r="E360" i="48"/>
  <c r="J359" i="48"/>
  <c r="F359" i="48"/>
  <c r="E359" i="48"/>
  <c r="J358" i="48"/>
  <c r="F358" i="48"/>
  <c r="H358" i="48" s="1"/>
  <c r="E358" i="48"/>
  <c r="J357" i="48"/>
  <c r="F357" i="48"/>
  <c r="K357" i="48" s="1"/>
  <c r="E357" i="48"/>
  <c r="J356" i="48"/>
  <c r="F356" i="48"/>
  <c r="H356" i="48" s="1"/>
  <c r="E356" i="48"/>
  <c r="J355" i="48"/>
  <c r="F355" i="48"/>
  <c r="E355" i="48"/>
  <c r="K354" i="48"/>
  <c r="H354" i="48"/>
  <c r="G354" i="48"/>
  <c r="E354" i="48"/>
  <c r="K353" i="48"/>
  <c r="H353" i="48"/>
  <c r="G353" i="48"/>
  <c r="E353" i="48"/>
  <c r="K352" i="48"/>
  <c r="J352" i="48"/>
  <c r="H352" i="48"/>
  <c r="G352" i="48"/>
  <c r="E352" i="48"/>
  <c r="J351" i="48"/>
  <c r="F351" i="48"/>
  <c r="H351" i="48" s="1"/>
  <c r="E351" i="48"/>
  <c r="J350" i="48"/>
  <c r="F350" i="48"/>
  <c r="K350" i="48" s="1"/>
  <c r="E350" i="48"/>
  <c r="C348" i="48"/>
  <c r="J347" i="48"/>
  <c r="F347" i="48"/>
  <c r="E347" i="48"/>
  <c r="J346" i="48"/>
  <c r="F346" i="48"/>
  <c r="H346" i="48" s="1"/>
  <c r="E346" i="48"/>
  <c r="J345" i="48"/>
  <c r="F345" i="48"/>
  <c r="K345" i="48" s="1"/>
  <c r="E345" i="48"/>
  <c r="F344" i="48"/>
  <c r="H344" i="48" s="1"/>
  <c r="E344" i="48"/>
  <c r="C344" i="48"/>
  <c r="J344" i="48" s="1"/>
  <c r="F343" i="48"/>
  <c r="H343" i="48" s="1"/>
  <c r="E343" i="48"/>
  <c r="C343" i="48"/>
  <c r="J343" i="48" s="1"/>
  <c r="J342" i="48"/>
  <c r="F342" i="48"/>
  <c r="H342" i="48" s="1"/>
  <c r="E342" i="48"/>
  <c r="J341" i="48"/>
  <c r="F341" i="48"/>
  <c r="E341" i="48"/>
  <c r="K340" i="48"/>
  <c r="H340" i="48"/>
  <c r="G340" i="48"/>
  <c r="E340" i="48"/>
  <c r="K339" i="48"/>
  <c r="H339" i="48"/>
  <c r="G339" i="48"/>
  <c r="E339" i="48"/>
  <c r="H338" i="48"/>
  <c r="G338" i="48"/>
  <c r="E338" i="48"/>
  <c r="C338" i="48"/>
  <c r="J337" i="48"/>
  <c r="F337" i="48"/>
  <c r="E337" i="48"/>
  <c r="J336" i="48"/>
  <c r="F336" i="48"/>
  <c r="H336" i="48" s="1"/>
  <c r="E336" i="48"/>
  <c r="F333" i="48"/>
  <c r="H333" i="48" s="1"/>
  <c r="E333" i="48"/>
  <c r="C333" i="48"/>
  <c r="J333" i="48" s="1"/>
  <c r="J332" i="48"/>
  <c r="F332" i="48"/>
  <c r="H332" i="48" s="1"/>
  <c r="E332" i="48"/>
  <c r="J331" i="48"/>
  <c r="F331" i="48"/>
  <c r="E331" i="48"/>
  <c r="F330" i="48"/>
  <c r="H330" i="48" s="1"/>
  <c r="E330" i="48"/>
  <c r="C330" i="48"/>
  <c r="J330" i="48" s="1"/>
  <c r="F329" i="48"/>
  <c r="H329" i="48" s="1"/>
  <c r="E329" i="48"/>
  <c r="C329" i="48"/>
  <c r="J329" i="48" s="1"/>
  <c r="J328" i="48"/>
  <c r="F328" i="48"/>
  <c r="H328" i="48" s="1"/>
  <c r="E328" i="48"/>
  <c r="J327" i="48"/>
  <c r="F327" i="48"/>
  <c r="K327" i="48" s="1"/>
  <c r="E327" i="48"/>
  <c r="J326" i="48"/>
  <c r="F326" i="48"/>
  <c r="H326" i="48" s="1"/>
  <c r="E326" i="48"/>
  <c r="K325" i="48"/>
  <c r="H325" i="48"/>
  <c r="G325" i="48"/>
  <c r="E325" i="48"/>
  <c r="K324" i="48"/>
  <c r="H324" i="48"/>
  <c r="G324" i="48"/>
  <c r="E324" i="48"/>
  <c r="H323" i="48"/>
  <c r="G323" i="48"/>
  <c r="E323" i="48"/>
  <c r="C323" i="48"/>
  <c r="K323" i="48" s="1"/>
  <c r="J322" i="48"/>
  <c r="F322" i="48"/>
  <c r="H322" i="48" s="1"/>
  <c r="E322" i="48"/>
  <c r="J321" i="48"/>
  <c r="F321" i="48"/>
  <c r="E321" i="48"/>
  <c r="J318" i="48"/>
  <c r="F318" i="48"/>
  <c r="K318" i="48" s="1"/>
  <c r="E318" i="48"/>
  <c r="J317" i="48"/>
  <c r="F317" i="48"/>
  <c r="H317" i="48" s="1"/>
  <c r="E317" i="48"/>
  <c r="J316" i="48"/>
  <c r="F316" i="48"/>
  <c r="E316" i="48"/>
  <c r="J315" i="48"/>
  <c r="F315" i="48"/>
  <c r="H315" i="48" s="1"/>
  <c r="E315" i="48"/>
  <c r="J314" i="48"/>
  <c r="F314" i="48"/>
  <c r="K314" i="48" s="1"/>
  <c r="E314" i="48"/>
  <c r="J313" i="48"/>
  <c r="F313" i="48"/>
  <c r="H313" i="48" s="1"/>
  <c r="E313" i="48"/>
  <c r="J312" i="48"/>
  <c r="F312" i="48"/>
  <c r="E312" i="48"/>
  <c r="J311" i="48"/>
  <c r="F311" i="48"/>
  <c r="H311" i="48" s="1"/>
  <c r="E311" i="48"/>
  <c r="K310" i="48"/>
  <c r="H310" i="48"/>
  <c r="G310" i="48"/>
  <c r="E310" i="48"/>
  <c r="K309" i="48"/>
  <c r="H309" i="48"/>
  <c r="G309" i="48"/>
  <c r="E309" i="48"/>
  <c r="K308" i="48"/>
  <c r="J308" i="48"/>
  <c r="H308" i="48"/>
  <c r="G308" i="48"/>
  <c r="E308" i="48"/>
  <c r="J307" i="48"/>
  <c r="F307" i="48"/>
  <c r="K307" i="48" s="1"/>
  <c r="E307" i="48"/>
  <c r="J306" i="48"/>
  <c r="F306" i="48"/>
  <c r="H306" i="48" s="1"/>
  <c r="E306" i="48"/>
  <c r="C304" i="48"/>
  <c r="J303" i="48"/>
  <c r="F303" i="48"/>
  <c r="K303" i="48" s="1"/>
  <c r="E303" i="48"/>
  <c r="J302" i="48"/>
  <c r="F302" i="48"/>
  <c r="K302" i="48" s="1"/>
  <c r="E302" i="48"/>
  <c r="J301" i="48"/>
  <c r="F301" i="48"/>
  <c r="H301" i="48" s="1"/>
  <c r="E301" i="48"/>
  <c r="J300" i="48"/>
  <c r="F300" i="48"/>
  <c r="E300" i="48"/>
  <c r="J299" i="48"/>
  <c r="F299" i="48"/>
  <c r="H299" i="48" s="1"/>
  <c r="E299" i="48"/>
  <c r="J298" i="48"/>
  <c r="F298" i="48"/>
  <c r="K298" i="48" s="1"/>
  <c r="E298" i="48"/>
  <c r="F297" i="48"/>
  <c r="H297" i="48" s="1"/>
  <c r="E297" i="48"/>
  <c r="C297" i="48"/>
  <c r="J297" i="48" s="1"/>
  <c r="J296" i="48"/>
  <c r="F296" i="48"/>
  <c r="H296" i="48" s="1"/>
  <c r="E296" i="48"/>
  <c r="K295" i="48"/>
  <c r="H295" i="48"/>
  <c r="G295" i="48"/>
  <c r="E295" i="48"/>
  <c r="K294" i="48"/>
  <c r="H294" i="48"/>
  <c r="G294" i="48"/>
  <c r="E294" i="48"/>
  <c r="K293" i="48"/>
  <c r="J293" i="48"/>
  <c r="H293" i="48"/>
  <c r="G293" i="48"/>
  <c r="E293" i="48"/>
  <c r="J292" i="48"/>
  <c r="F292" i="48"/>
  <c r="E292" i="48"/>
  <c r="J291" i="48"/>
  <c r="F291" i="48"/>
  <c r="H291" i="48" s="1"/>
  <c r="E291" i="48"/>
  <c r="J288" i="48"/>
  <c r="F288" i="48"/>
  <c r="G288" i="48" s="1"/>
  <c r="E288" i="48"/>
  <c r="J287" i="48"/>
  <c r="F287" i="48"/>
  <c r="E287" i="48"/>
  <c r="J286" i="48"/>
  <c r="F286" i="48"/>
  <c r="H286" i="48" s="1"/>
  <c r="E286" i="48"/>
  <c r="J285" i="48"/>
  <c r="F285" i="48"/>
  <c r="K285" i="48" s="1"/>
  <c r="E285" i="48"/>
  <c r="J284" i="48"/>
  <c r="F284" i="48"/>
  <c r="K284" i="48" s="1"/>
  <c r="E284" i="48"/>
  <c r="J283" i="48"/>
  <c r="F283" i="48"/>
  <c r="E283" i="48"/>
  <c r="F282" i="48"/>
  <c r="H282" i="48" s="1"/>
  <c r="E282" i="48"/>
  <c r="C282" i="48"/>
  <c r="J282" i="48" s="1"/>
  <c r="J281" i="48"/>
  <c r="F281" i="48"/>
  <c r="H281" i="48" s="1"/>
  <c r="E281" i="48"/>
  <c r="K280" i="48"/>
  <c r="H280" i="48"/>
  <c r="G280" i="48"/>
  <c r="E280" i="48"/>
  <c r="K279" i="48"/>
  <c r="H279" i="48"/>
  <c r="G279" i="48"/>
  <c r="E279" i="48"/>
  <c r="K278" i="48"/>
  <c r="J278" i="48"/>
  <c r="H278" i="48"/>
  <c r="G278" i="48"/>
  <c r="E278" i="48"/>
  <c r="J277" i="48"/>
  <c r="F277" i="48"/>
  <c r="K277" i="48" s="1"/>
  <c r="E277" i="48"/>
  <c r="J276" i="48"/>
  <c r="F276" i="48"/>
  <c r="H276" i="48" s="1"/>
  <c r="E276" i="48"/>
  <c r="J273" i="48"/>
  <c r="F273" i="48"/>
  <c r="K273" i="48" s="1"/>
  <c r="E273" i="48"/>
  <c r="J272" i="48"/>
  <c r="F272" i="48"/>
  <c r="K272" i="48" s="1"/>
  <c r="E272" i="48"/>
  <c r="J271" i="48"/>
  <c r="F271" i="48"/>
  <c r="H271" i="48" s="1"/>
  <c r="E271" i="48"/>
  <c r="J270" i="48"/>
  <c r="F270" i="48"/>
  <c r="E270" i="48"/>
  <c r="J269" i="48"/>
  <c r="F269" i="48"/>
  <c r="H269" i="48" s="1"/>
  <c r="E269" i="48"/>
  <c r="J268" i="48"/>
  <c r="F268" i="48"/>
  <c r="K268" i="48" s="1"/>
  <c r="E268" i="48"/>
  <c r="F267" i="48"/>
  <c r="H267" i="48" s="1"/>
  <c r="E267" i="48"/>
  <c r="C267" i="48"/>
  <c r="J267" i="48" s="1"/>
  <c r="J266" i="48"/>
  <c r="F266" i="48"/>
  <c r="H266" i="48" s="1"/>
  <c r="E266" i="48"/>
  <c r="K265" i="48"/>
  <c r="H265" i="48"/>
  <c r="G265" i="48"/>
  <c r="E265" i="48"/>
  <c r="K264" i="48"/>
  <c r="H264" i="48"/>
  <c r="G264" i="48"/>
  <c r="E264" i="48"/>
  <c r="K263" i="48"/>
  <c r="J263" i="48"/>
  <c r="H263" i="48"/>
  <c r="G263" i="48"/>
  <c r="E263" i="48"/>
  <c r="J262" i="48"/>
  <c r="F262" i="48"/>
  <c r="E262" i="48"/>
  <c r="J261" i="48"/>
  <c r="F261" i="48"/>
  <c r="H261" i="48" s="1"/>
  <c r="E261" i="48"/>
  <c r="J258" i="48"/>
  <c r="F258" i="48"/>
  <c r="H258" i="48" s="1"/>
  <c r="E258" i="48"/>
  <c r="J257" i="48"/>
  <c r="F257" i="48"/>
  <c r="E257" i="48"/>
  <c r="J256" i="48"/>
  <c r="F256" i="48"/>
  <c r="H256" i="48" s="1"/>
  <c r="E256" i="48"/>
  <c r="J255" i="48"/>
  <c r="F255" i="48"/>
  <c r="K255" i="48" s="1"/>
  <c r="E255" i="48"/>
  <c r="J254" i="48"/>
  <c r="F254" i="48"/>
  <c r="H254" i="48" s="1"/>
  <c r="E254" i="48"/>
  <c r="J253" i="48"/>
  <c r="F253" i="48"/>
  <c r="E253" i="48"/>
  <c r="J252" i="48"/>
  <c r="F252" i="48"/>
  <c r="H252" i="48" s="1"/>
  <c r="E252" i="48"/>
  <c r="J251" i="48"/>
  <c r="F251" i="48"/>
  <c r="K251" i="48" s="1"/>
  <c r="E251" i="48"/>
  <c r="K250" i="48"/>
  <c r="H250" i="48"/>
  <c r="G250" i="48"/>
  <c r="E250" i="48"/>
  <c r="K249" i="48"/>
  <c r="H249" i="48"/>
  <c r="G249" i="48"/>
  <c r="E249" i="48"/>
  <c r="K248" i="48"/>
  <c r="J248" i="48"/>
  <c r="H248" i="48"/>
  <c r="G248" i="48"/>
  <c r="E248" i="48"/>
  <c r="J247" i="48"/>
  <c r="F247" i="48"/>
  <c r="H247" i="48" s="1"/>
  <c r="E247" i="48"/>
  <c r="J246" i="48"/>
  <c r="F246" i="48"/>
  <c r="E246" i="48"/>
  <c r="C244" i="48"/>
  <c r="J243" i="48"/>
  <c r="F243" i="48"/>
  <c r="K243" i="48" s="1"/>
  <c r="E243" i="48"/>
  <c r="J242" i="48"/>
  <c r="F242" i="48"/>
  <c r="H242" i="48" s="1"/>
  <c r="E242" i="48"/>
  <c r="J241" i="48"/>
  <c r="F241" i="48"/>
  <c r="E241" i="48"/>
  <c r="F240" i="48"/>
  <c r="H240" i="48" s="1"/>
  <c r="E240" i="48"/>
  <c r="C240" i="48"/>
  <c r="J240" i="48" s="1"/>
  <c r="F239" i="48"/>
  <c r="H239" i="48" s="1"/>
  <c r="E239" i="48"/>
  <c r="C239" i="48"/>
  <c r="J239" i="48" s="1"/>
  <c r="J238" i="48"/>
  <c r="F238" i="48"/>
  <c r="H238" i="48" s="1"/>
  <c r="E238" i="48"/>
  <c r="J237" i="48"/>
  <c r="F237" i="48"/>
  <c r="K237" i="48" s="1"/>
  <c r="E237" i="48"/>
  <c r="K236" i="48"/>
  <c r="H236" i="48"/>
  <c r="G236" i="48"/>
  <c r="E236" i="48"/>
  <c r="K235" i="48"/>
  <c r="H235" i="48"/>
  <c r="G235" i="48"/>
  <c r="E235" i="48"/>
  <c r="H234" i="48"/>
  <c r="G234" i="48"/>
  <c r="E234" i="48"/>
  <c r="C234" i="48"/>
  <c r="J233" i="48"/>
  <c r="F233" i="48"/>
  <c r="K233" i="48" s="1"/>
  <c r="E233" i="48"/>
  <c r="J232" i="48"/>
  <c r="F232" i="48"/>
  <c r="H232" i="48" s="1"/>
  <c r="E232" i="48"/>
  <c r="J229" i="48"/>
  <c r="F229" i="48"/>
  <c r="H229" i="48" s="1"/>
  <c r="E229" i="48"/>
  <c r="J228" i="48"/>
  <c r="F228" i="48"/>
  <c r="K228" i="48" s="1"/>
  <c r="E228" i="48"/>
  <c r="J227" i="48"/>
  <c r="F227" i="48"/>
  <c r="H227" i="48" s="1"/>
  <c r="E227" i="48"/>
  <c r="J226" i="48"/>
  <c r="F226" i="48"/>
  <c r="E226" i="48"/>
  <c r="J225" i="48"/>
  <c r="F225" i="48"/>
  <c r="H225" i="48" s="1"/>
  <c r="E225" i="48"/>
  <c r="J224" i="48"/>
  <c r="F224" i="48"/>
  <c r="K224" i="48" s="1"/>
  <c r="E224" i="48"/>
  <c r="J223" i="48"/>
  <c r="F223" i="48"/>
  <c r="H223" i="48" s="1"/>
  <c r="E223" i="48"/>
  <c r="K222" i="48"/>
  <c r="H222" i="48"/>
  <c r="G222" i="48"/>
  <c r="E222" i="48"/>
  <c r="K221" i="48"/>
  <c r="H221" i="48"/>
  <c r="G221" i="48"/>
  <c r="E221" i="48"/>
  <c r="K220" i="48"/>
  <c r="J220" i="48"/>
  <c r="H220" i="48"/>
  <c r="G220" i="48"/>
  <c r="E220" i="48"/>
  <c r="J219" i="48"/>
  <c r="F219" i="48"/>
  <c r="E219" i="48"/>
  <c r="J218" i="48"/>
  <c r="F218" i="48"/>
  <c r="H218" i="48" s="1"/>
  <c r="E218" i="48"/>
  <c r="C216" i="48"/>
  <c r="J215" i="48"/>
  <c r="F215" i="48"/>
  <c r="H215" i="48" s="1"/>
  <c r="E215" i="48"/>
  <c r="J214" i="48"/>
  <c r="F214" i="48"/>
  <c r="E214" i="48"/>
  <c r="J213" i="48"/>
  <c r="F213" i="48"/>
  <c r="H213" i="48" s="1"/>
  <c r="E213" i="48"/>
  <c r="J212" i="48"/>
  <c r="F212" i="48"/>
  <c r="K212" i="48" s="1"/>
  <c r="E212" i="48"/>
  <c r="J211" i="48"/>
  <c r="F211" i="48"/>
  <c r="H211" i="48" s="1"/>
  <c r="E211" i="48"/>
  <c r="J210" i="48"/>
  <c r="F210" i="48"/>
  <c r="E210" i="48"/>
  <c r="J209" i="48"/>
  <c r="F209" i="48"/>
  <c r="H209" i="48" s="1"/>
  <c r="E209" i="48"/>
  <c r="J208" i="48"/>
  <c r="F208" i="48"/>
  <c r="K208" i="48" s="1"/>
  <c r="E208" i="48"/>
  <c r="K207" i="48"/>
  <c r="H207" i="48"/>
  <c r="G207" i="48"/>
  <c r="E207" i="48"/>
  <c r="K206" i="48"/>
  <c r="H206" i="48"/>
  <c r="G206" i="48"/>
  <c r="E206" i="48"/>
  <c r="K205" i="48"/>
  <c r="J205" i="48"/>
  <c r="H205" i="48"/>
  <c r="G205" i="48"/>
  <c r="E205" i="48"/>
  <c r="J204" i="48"/>
  <c r="F204" i="48"/>
  <c r="H204" i="48" s="1"/>
  <c r="E204" i="48"/>
  <c r="J203" i="48"/>
  <c r="F203" i="48"/>
  <c r="E203" i="48"/>
  <c r="C201" i="48"/>
  <c r="J200" i="48"/>
  <c r="F200" i="48"/>
  <c r="K200" i="48" s="1"/>
  <c r="E200" i="48"/>
  <c r="J199" i="48"/>
  <c r="F199" i="48"/>
  <c r="H199" i="48" s="1"/>
  <c r="E199" i="48"/>
  <c r="J198" i="48"/>
  <c r="F198" i="48"/>
  <c r="E198" i="48"/>
  <c r="J197" i="48"/>
  <c r="F197" i="48"/>
  <c r="H197" i="48" s="1"/>
  <c r="E197" i="48"/>
  <c r="J196" i="48"/>
  <c r="F196" i="48"/>
  <c r="K196" i="48" s="1"/>
  <c r="E196" i="48"/>
  <c r="J195" i="48"/>
  <c r="F195" i="48"/>
  <c r="H195" i="48" s="1"/>
  <c r="E195" i="48"/>
  <c r="J194" i="48"/>
  <c r="F194" i="48"/>
  <c r="E194" i="48"/>
  <c r="J193" i="48"/>
  <c r="F193" i="48"/>
  <c r="H193" i="48" s="1"/>
  <c r="E193" i="48"/>
  <c r="K192" i="48"/>
  <c r="H192" i="48"/>
  <c r="G192" i="48"/>
  <c r="E192" i="48"/>
  <c r="K191" i="48"/>
  <c r="H191" i="48"/>
  <c r="G191" i="48"/>
  <c r="E191" i="48"/>
  <c r="K190" i="48"/>
  <c r="J190" i="48"/>
  <c r="H190" i="48"/>
  <c r="G190" i="48"/>
  <c r="E190" i="48"/>
  <c r="J189" i="48"/>
  <c r="F189" i="48"/>
  <c r="K189" i="48" s="1"/>
  <c r="E189" i="48"/>
  <c r="J188" i="48"/>
  <c r="F188" i="48"/>
  <c r="H188" i="48" s="1"/>
  <c r="E188" i="48"/>
  <c r="C186" i="48"/>
  <c r="J185" i="48"/>
  <c r="F185" i="48"/>
  <c r="H185" i="48" s="1"/>
  <c r="E185" i="48"/>
  <c r="J184" i="48"/>
  <c r="F184" i="48"/>
  <c r="K184" i="48" s="1"/>
  <c r="E184" i="48"/>
  <c r="J183" i="48"/>
  <c r="F183" i="48"/>
  <c r="H183" i="48" s="1"/>
  <c r="E183" i="48"/>
  <c r="J182" i="48"/>
  <c r="F182" i="48"/>
  <c r="E182" i="48"/>
  <c r="J181" i="48"/>
  <c r="F181" i="48"/>
  <c r="H181" i="48" s="1"/>
  <c r="E181" i="48"/>
  <c r="J180" i="48"/>
  <c r="F180" i="48"/>
  <c r="K180" i="48" s="1"/>
  <c r="E180" i="48"/>
  <c r="J179" i="48"/>
  <c r="F179" i="48"/>
  <c r="H179" i="48" s="1"/>
  <c r="E179" i="48"/>
  <c r="J178" i="48"/>
  <c r="F178" i="48"/>
  <c r="E178" i="48"/>
  <c r="K177" i="48"/>
  <c r="H177" i="48"/>
  <c r="G177" i="48"/>
  <c r="E177" i="48"/>
  <c r="K176" i="48"/>
  <c r="H176" i="48"/>
  <c r="G176" i="48"/>
  <c r="E176" i="48"/>
  <c r="K175" i="48"/>
  <c r="J175" i="48"/>
  <c r="H175" i="48"/>
  <c r="G175" i="48"/>
  <c r="E175" i="48"/>
  <c r="J174" i="48"/>
  <c r="F174" i="48"/>
  <c r="H174" i="48" s="1"/>
  <c r="E174" i="48"/>
  <c r="J173" i="48"/>
  <c r="F173" i="48"/>
  <c r="K173" i="48" s="1"/>
  <c r="E173" i="48"/>
  <c r="C171" i="48"/>
  <c r="F170" i="48"/>
  <c r="E170" i="48"/>
  <c r="C170" i="48"/>
  <c r="C157" i="48" s="1"/>
  <c r="J169" i="48"/>
  <c r="F169" i="48"/>
  <c r="E169" i="48"/>
  <c r="J168" i="48"/>
  <c r="F168" i="48"/>
  <c r="H168" i="48" s="1"/>
  <c r="E168" i="48"/>
  <c r="J167" i="48"/>
  <c r="F167" i="48"/>
  <c r="K167" i="48" s="1"/>
  <c r="E167" i="48"/>
  <c r="J166" i="48"/>
  <c r="F166" i="48"/>
  <c r="H166" i="48" s="1"/>
  <c r="E166" i="48"/>
  <c r="J165" i="48"/>
  <c r="F165" i="48"/>
  <c r="E165" i="48"/>
  <c r="J164" i="48"/>
  <c r="F164" i="48"/>
  <c r="H164" i="48" s="1"/>
  <c r="E164" i="48"/>
  <c r="K163" i="48"/>
  <c r="H163" i="48"/>
  <c r="G163" i="48"/>
  <c r="E163" i="48"/>
  <c r="K162" i="48"/>
  <c r="H162" i="48"/>
  <c r="G162" i="48"/>
  <c r="E162" i="48"/>
  <c r="K161" i="48"/>
  <c r="J161" i="48"/>
  <c r="H161" i="48"/>
  <c r="G161" i="48"/>
  <c r="E161" i="48"/>
  <c r="J160" i="48"/>
  <c r="F160" i="48"/>
  <c r="K160" i="48" s="1"/>
  <c r="E160" i="48"/>
  <c r="J159" i="48"/>
  <c r="F159" i="48"/>
  <c r="H159" i="48" s="1"/>
  <c r="E159" i="48"/>
  <c r="J156" i="48"/>
  <c r="F156" i="48"/>
  <c r="G156" i="48" s="1"/>
  <c r="E156" i="48"/>
  <c r="J155" i="48"/>
  <c r="F155" i="48"/>
  <c r="K155" i="48" s="1"/>
  <c r="E155" i="48"/>
  <c r="J154" i="48"/>
  <c r="F154" i="48"/>
  <c r="H154" i="48" s="1"/>
  <c r="E154" i="48"/>
  <c r="J153" i="48"/>
  <c r="F153" i="48"/>
  <c r="E153" i="48"/>
  <c r="J152" i="48"/>
  <c r="F152" i="48"/>
  <c r="H152" i="48" s="1"/>
  <c r="E152" i="48"/>
  <c r="J151" i="48"/>
  <c r="F151" i="48"/>
  <c r="K151" i="48" s="1"/>
  <c r="E151" i="48"/>
  <c r="J150" i="48"/>
  <c r="F150" i="48"/>
  <c r="H150" i="48" s="1"/>
  <c r="E150" i="48"/>
  <c r="J149" i="48"/>
  <c r="F149" i="48"/>
  <c r="E149" i="48"/>
  <c r="K148" i="48"/>
  <c r="H148" i="48"/>
  <c r="G148" i="48"/>
  <c r="E148" i="48"/>
  <c r="K147" i="48"/>
  <c r="H147" i="48"/>
  <c r="G147" i="48"/>
  <c r="E147" i="48"/>
  <c r="K146" i="48"/>
  <c r="J146" i="48"/>
  <c r="H146" i="48"/>
  <c r="G146" i="48"/>
  <c r="E146" i="48"/>
  <c r="J145" i="48"/>
  <c r="F145" i="48"/>
  <c r="H145" i="48" s="1"/>
  <c r="E145" i="48"/>
  <c r="J144" i="48"/>
  <c r="F144" i="48"/>
  <c r="K144" i="48" s="1"/>
  <c r="E144" i="48"/>
  <c r="C142" i="48"/>
  <c r="J141" i="48"/>
  <c r="F141" i="48"/>
  <c r="H141" i="48" s="1"/>
  <c r="E141" i="48"/>
  <c r="J140" i="48"/>
  <c r="F140" i="48"/>
  <c r="H140" i="48" s="1"/>
  <c r="E140" i="48"/>
  <c r="J139" i="48"/>
  <c r="F139" i="48"/>
  <c r="H139" i="48" s="1"/>
  <c r="E139" i="48"/>
  <c r="J138" i="48"/>
  <c r="F138" i="48"/>
  <c r="H138" i="48" s="1"/>
  <c r="E138" i="48"/>
  <c r="J137" i="48"/>
  <c r="F137" i="48"/>
  <c r="H137" i="48" s="1"/>
  <c r="E137" i="48"/>
  <c r="J136" i="48"/>
  <c r="F136" i="48"/>
  <c r="H136" i="48" s="1"/>
  <c r="E136" i="48"/>
  <c r="J135" i="48"/>
  <c r="F135" i="48"/>
  <c r="H135" i="48" s="1"/>
  <c r="E135" i="48"/>
  <c r="J134" i="48"/>
  <c r="F134" i="48"/>
  <c r="H134" i="48" s="1"/>
  <c r="E134" i="48"/>
  <c r="K133" i="48"/>
  <c r="H133" i="48"/>
  <c r="G133" i="48"/>
  <c r="E133" i="48"/>
  <c r="K132" i="48"/>
  <c r="H132" i="48"/>
  <c r="G132" i="48"/>
  <c r="E132" i="48"/>
  <c r="K131" i="48"/>
  <c r="J131" i="48"/>
  <c r="H131" i="48"/>
  <c r="G131" i="48"/>
  <c r="E131" i="48"/>
  <c r="J130" i="48"/>
  <c r="F130" i="48"/>
  <c r="H130" i="48" s="1"/>
  <c r="E130" i="48"/>
  <c r="J129" i="48"/>
  <c r="F129" i="48"/>
  <c r="H129" i="48" s="1"/>
  <c r="E129" i="48"/>
  <c r="C127" i="48"/>
  <c r="J126" i="48"/>
  <c r="F126" i="48"/>
  <c r="H126" i="48" s="1"/>
  <c r="E126" i="48"/>
  <c r="J125" i="48"/>
  <c r="F125" i="48"/>
  <c r="H125" i="48" s="1"/>
  <c r="E125" i="48"/>
  <c r="J124" i="48"/>
  <c r="F124" i="48"/>
  <c r="H124" i="48" s="1"/>
  <c r="E124" i="48"/>
  <c r="J123" i="48"/>
  <c r="F123" i="48"/>
  <c r="H123" i="48" s="1"/>
  <c r="E123" i="48"/>
  <c r="J122" i="48"/>
  <c r="F122" i="48"/>
  <c r="H122" i="48" s="1"/>
  <c r="E122" i="48"/>
  <c r="J121" i="48"/>
  <c r="F121" i="48"/>
  <c r="H121" i="48" s="1"/>
  <c r="E121" i="48"/>
  <c r="J120" i="48"/>
  <c r="F120" i="48"/>
  <c r="H120" i="48" s="1"/>
  <c r="E120" i="48"/>
  <c r="J119" i="48"/>
  <c r="F119" i="48"/>
  <c r="H119" i="48" s="1"/>
  <c r="E119" i="48"/>
  <c r="K118" i="48"/>
  <c r="H118" i="48"/>
  <c r="G118" i="48"/>
  <c r="E118" i="48"/>
  <c r="K117" i="48"/>
  <c r="H117" i="48"/>
  <c r="G117" i="48"/>
  <c r="E117" i="48"/>
  <c r="K116" i="48"/>
  <c r="J116" i="48"/>
  <c r="H116" i="48"/>
  <c r="G116" i="48"/>
  <c r="E116" i="48"/>
  <c r="J115" i="48"/>
  <c r="F115" i="48"/>
  <c r="H115" i="48" s="1"/>
  <c r="E115" i="48"/>
  <c r="J114" i="48"/>
  <c r="F114" i="48"/>
  <c r="K114" i="48" s="1"/>
  <c r="E114" i="48"/>
  <c r="C112" i="48"/>
  <c r="J111" i="48"/>
  <c r="F111" i="48"/>
  <c r="H111" i="48" s="1"/>
  <c r="E111" i="48"/>
  <c r="J110" i="48"/>
  <c r="F110" i="48"/>
  <c r="H110" i="48" s="1"/>
  <c r="E110" i="48"/>
  <c r="J109" i="48"/>
  <c r="F109" i="48"/>
  <c r="K109" i="48" s="1"/>
  <c r="E109" i="48"/>
  <c r="J108" i="48"/>
  <c r="F108" i="48"/>
  <c r="H108" i="48" s="1"/>
  <c r="E108" i="48"/>
  <c r="J107" i="48"/>
  <c r="F107" i="48"/>
  <c r="H107" i="48" s="1"/>
  <c r="E107" i="48"/>
  <c r="J106" i="48"/>
  <c r="F106" i="48"/>
  <c r="H106" i="48" s="1"/>
  <c r="E106" i="48"/>
  <c r="J105" i="48"/>
  <c r="F105" i="48"/>
  <c r="K105" i="48" s="1"/>
  <c r="E105" i="48"/>
  <c r="F104" i="48"/>
  <c r="H104" i="48" s="1"/>
  <c r="E104" i="48"/>
  <c r="C104" i="48"/>
  <c r="J104" i="48" s="1"/>
  <c r="K103" i="48"/>
  <c r="H103" i="48"/>
  <c r="G103" i="48"/>
  <c r="E103" i="48"/>
  <c r="K102" i="48"/>
  <c r="H102" i="48"/>
  <c r="G102" i="48"/>
  <c r="E102" i="48"/>
  <c r="K101" i="48"/>
  <c r="J101" i="48"/>
  <c r="H101" i="48"/>
  <c r="G101" i="48"/>
  <c r="E101" i="48"/>
  <c r="J100" i="48"/>
  <c r="F100" i="48"/>
  <c r="H100" i="48" s="1"/>
  <c r="E100" i="48"/>
  <c r="J99" i="48"/>
  <c r="F99" i="48"/>
  <c r="H99" i="48" s="1"/>
  <c r="E99" i="48"/>
  <c r="C97" i="48"/>
  <c r="J96" i="48"/>
  <c r="F96" i="48"/>
  <c r="K96" i="48" s="1"/>
  <c r="E96" i="48"/>
  <c r="J95" i="48"/>
  <c r="F95" i="48"/>
  <c r="H95" i="48" s="1"/>
  <c r="E95" i="48"/>
  <c r="J94" i="48"/>
  <c r="F94" i="48"/>
  <c r="H94" i="48" s="1"/>
  <c r="E94" i="48"/>
  <c r="J93" i="48"/>
  <c r="F93" i="48"/>
  <c r="H93" i="48" s="1"/>
  <c r="E93" i="48"/>
  <c r="J92" i="48"/>
  <c r="F92" i="48"/>
  <c r="K92" i="48" s="1"/>
  <c r="E92" i="48"/>
  <c r="J91" i="48"/>
  <c r="F91" i="48"/>
  <c r="H91" i="48" s="1"/>
  <c r="E91" i="48"/>
  <c r="J90" i="48"/>
  <c r="F90" i="48"/>
  <c r="H90" i="48" s="1"/>
  <c r="E90" i="48"/>
  <c r="F89" i="48"/>
  <c r="H89" i="48" s="1"/>
  <c r="E89" i="48"/>
  <c r="C89" i="48"/>
  <c r="J89" i="48" s="1"/>
  <c r="K88" i="48"/>
  <c r="H88" i="48"/>
  <c r="G88" i="48"/>
  <c r="E88" i="48"/>
  <c r="K87" i="48"/>
  <c r="H87" i="48"/>
  <c r="G87" i="48"/>
  <c r="E87" i="48"/>
  <c r="K86" i="48"/>
  <c r="J86" i="48"/>
  <c r="H86" i="48"/>
  <c r="G86" i="48"/>
  <c r="E86" i="48"/>
  <c r="J85" i="48"/>
  <c r="F85" i="48"/>
  <c r="H85" i="48" s="1"/>
  <c r="E85" i="48"/>
  <c r="J84" i="48"/>
  <c r="F84" i="48"/>
  <c r="K84" i="48" s="1"/>
  <c r="E84" i="48"/>
  <c r="J81" i="48"/>
  <c r="F81" i="48"/>
  <c r="H81" i="48" s="1"/>
  <c r="E81" i="48"/>
  <c r="J80" i="48"/>
  <c r="F80" i="48"/>
  <c r="H80" i="48" s="1"/>
  <c r="E80" i="48"/>
  <c r="J79" i="48"/>
  <c r="F79" i="48"/>
  <c r="K79" i="48" s="1"/>
  <c r="E79" i="48"/>
  <c r="J78" i="48"/>
  <c r="F78" i="48"/>
  <c r="H78" i="48" s="1"/>
  <c r="E78" i="48"/>
  <c r="J77" i="48"/>
  <c r="F77" i="48"/>
  <c r="H77" i="48" s="1"/>
  <c r="E77" i="48"/>
  <c r="J76" i="48"/>
  <c r="F76" i="48"/>
  <c r="H76" i="48" s="1"/>
  <c r="E76" i="48"/>
  <c r="J75" i="48"/>
  <c r="F75" i="48"/>
  <c r="K75" i="48" s="1"/>
  <c r="E75" i="48"/>
  <c r="J74" i="48"/>
  <c r="F74" i="48"/>
  <c r="H74" i="48" s="1"/>
  <c r="E74" i="48"/>
  <c r="K73" i="48"/>
  <c r="H73" i="48"/>
  <c r="G73" i="48"/>
  <c r="E73" i="48"/>
  <c r="K72" i="48"/>
  <c r="H72" i="48"/>
  <c r="G72" i="48"/>
  <c r="E72" i="48"/>
  <c r="K71" i="48"/>
  <c r="J71" i="48"/>
  <c r="H71" i="48"/>
  <c r="G71" i="48"/>
  <c r="E71" i="48"/>
  <c r="J70" i="48"/>
  <c r="F70" i="48"/>
  <c r="H70" i="48" s="1"/>
  <c r="E70" i="48"/>
  <c r="J69" i="48"/>
  <c r="F69" i="48"/>
  <c r="H69" i="48" s="1"/>
  <c r="E69" i="48"/>
  <c r="C67" i="48"/>
  <c r="J66" i="48"/>
  <c r="F66" i="48"/>
  <c r="H66" i="48" s="1"/>
  <c r="E66" i="48"/>
  <c r="J65" i="48"/>
  <c r="F65" i="48"/>
  <c r="H65" i="48" s="1"/>
  <c r="E65" i="48"/>
  <c r="J64" i="48"/>
  <c r="F64" i="48"/>
  <c r="H64" i="48" s="1"/>
  <c r="E64" i="48"/>
  <c r="J63" i="48"/>
  <c r="F63" i="48"/>
  <c r="K63" i="48" s="1"/>
  <c r="E63" i="48"/>
  <c r="J62" i="48"/>
  <c r="F62" i="48"/>
  <c r="H62" i="48" s="1"/>
  <c r="E62" i="48"/>
  <c r="J61" i="48"/>
  <c r="F61" i="48"/>
  <c r="H61" i="48" s="1"/>
  <c r="E61" i="48"/>
  <c r="J60" i="48"/>
  <c r="F60" i="48"/>
  <c r="H60" i="48" s="1"/>
  <c r="E60" i="48"/>
  <c r="J59" i="48"/>
  <c r="F59" i="48"/>
  <c r="K59" i="48" s="1"/>
  <c r="E59" i="48"/>
  <c r="K58" i="48"/>
  <c r="H58" i="48"/>
  <c r="G58" i="48"/>
  <c r="E58" i="48"/>
  <c r="K57" i="48"/>
  <c r="H57" i="48"/>
  <c r="G57" i="48"/>
  <c r="E57" i="48"/>
  <c r="K56" i="48"/>
  <c r="J56" i="48"/>
  <c r="H56" i="48"/>
  <c r="G56" i="48"/>
  <c r="E56" i="48"/>
  <c r="J55" i="48"/>
  <c r="F55" i="48"/>
  <c r="H55" i="48" s="1"/>
  <c r="E55" i="48"/>
  <c r="J54" i="48"/>
  <c r="F54" i="48"/>
  <c r="H54" i="48" s="1"/>
  <c r="E54" i="48"/>
  <c r="C52" i="48"/>
  <c r="J51" i="48"/>
  <c r="F51" i="48"/>
  <c r="K51" i="48" s="1"/>
  <c r="E51" i="48"/>
  <c r="J50" i="48"/>
  <c r="F50" i="48"/>
  <c r="H50" i="48" s="1"/>
  <c r="E50" i="48"/>
  <c r="J49" i="48"/>
  <c r="F49" i="48"/>
  <c r="H49" i="48" s="1"/>
  <c r="E49" i="48"/>
  <c r="J48" i="48"/>
  <c r="F48" i="48"/>
  <c r="H48" i="48" s="1"/>
  <c r="E48" i="48"/>
  <c r="J47" i="48"/>
  <c r="F47" i="48"/>
  <c r="K47" i="48" s="1"/>
  <c r="E47" i="48"/>
  <c r="J46" i="48"/>
  <c r="F46" i="48"/>
  <c r="H46" i="48" s="1"/>
  <c r="E46" i="48"/>
  <c r="J45" i="48"/>
  <c r="F45" i="48"/>
  <c r="H45" i="48" s="1"/>
  <c r="E45" i="48"/>
  <c r="F44" i="48"/>
  <c r="H44" i="48" s="1"/>
  <c r="E44" i="48"/>
  <c r="C44" i="48"/>
  <c r="J44" i="48" s="1"/>
  <c r="K43" i="48"/>
  <c r="H43" i="48"/>
  <c r="G43" i="48"/>
  <c r="E43" i="48"/>
  <c r="K42" i="48"/>
  <c r="H42" i="48"/>
  <c r="G42" i="48"/>
  <c r="E42" i="48"/>
  <c r="K41" i="48"/>
  <c r="J41" i="48"/>
  <c r="H41" i="48"/>
  <c r="G41" i="48"/>
  <c r="E41" i="48"/>
  <c r="J40" i="48"/>
  <c r="F40" i="48"/>
  <c r="H40" i="48" s="1"/>
  <c r="E40" i="48"/>
  <c r="J39" i="48"/>
  <c r="F39" i="48"/>
  <c r="K39" i="48" s="1"/>
  <c r="E39" i="48"/>
  <c r="C37" i="48"/>
  <c r="F36" i="48"/>
  <c r="H36" i="48" s="1"/>
  <c r="E36" i="48"/>
  <c r="C36" i="48"/>
  <c r="J36" i="48" s="1"/>
  <c r="J35" i="48"/>
  <c r="F35" i="48"/>
  <c r="K35" i="48" s="1"/>
  <c r="E35" i="48"/>
  <c r="J34" i="48"/>
  <c r="F34" i="48"/>
  <c r="K34" i="48" s="1"/>
  <c r="E34" i="48"/>
  <c r="F33" i="48"/>
  <c r="E33" i="48"/>
  <c r="C33" i="48"/>
  <c r="J33" i="48" s="1"/>
  <c r="F32" i="48"/>
  <c r="H32" i="48" s="1"/>
  <c r="E32" i="48"/>
  <c r="C32" i="48"/>
  <c r="J32" i="48" s="1"/>
  <c r="J31" i="48"/>
  <c r="F31" i="48"/>
  <c r="K31" i="48" s="1"/>
  <c r="E31" i="48"/>
  <c r="J30" i="48"/>
  <c r="F30" i="48"/>
  <c r="K30" i="48" s="1"/>
  <c r="E30" i="48"/>
  <c r="F29" i="48"/>
  <c r="H29" i="48" s="1"/>
  <c r="E29" i="48"/>
  <c r="C29" i="48"/>
  <c r="J29" i="48" s="1"/>
  <c r="K28" i="48"/>
  <c r="H28" i="48"/>
  <c r="G28" i="48"/>
  <c r="E28" i="48"/>
  <c r="K27" i="48"/>
  <c r="H27" i="48"/>
  <c r="G27" i="48"/>
  <c r="E27" i="48"/>
  <c r="K26" i="48"/>
  <c r="J26" i="48"/>
  <c r="H26" i="48"/>
  <c r="G26" i="48"/>
  <c r="E26" i="48"/>
  <c r="J25" i="48"/>
  <c r="F25" i="48"/>
  <c r="K25" i="48" s="1"/>
  <c r="E25" i="48"/>
  <c r="J24" i="48"/>
  <c r="F24" i="48"/>
  <c r="K24" i="48" s="1"/>
  <c r="E24" i="48"/>
  <c r="K21" i="48"/>
  <c r="J21" i="48"/>
  <c r="H21" i="48"/>
  <c r="G21" i="48"/>
  <c r="I21" i="48" s="1"/>
  <c r="J20" i="48"/>
  <c r="F20" i="48"/>
  <c r="H20" i="48" s="1"/>
  <c r="E20" i="48"/>
  <c r="J19" i="48"/>
  <c r="F19" i="48"/>
  <c r="H19" i="48" s="1"/>
  <c r="E19" i="48"/>
  <c r="F18" i="48"/>
  <c r="E18" i="48"/>
  <c r="C18" i="48"/>
  <c r="J18" i="48" s="1"/>
  <c r="J17" i="48"/>
  <c r="F17" i="48"/>
  <c r="H17" i="48" s="1"/>
  <c r="E17" i="48"/>
  <c r="J16" i="48"/>
  <c r="F16" i="48"/>
  <c r="H16" i="48" s="1"/>
  <c r="E16" i="48"/>
  <c r="K15" i="48"/>
  <c r="J15" i="48"/>
  <c r="H15" i="48"/>
  <c r="G15" i="48"/>
  <c r="E15" i="48"/>
  <c r="K14" i="48"/>
  <c r="J14" i="48"/>
  <c r="H14" i="48"/>
  <c r="G14" i="48"/>
  <c r="E14" i="48"/>
  <c r="J13" i="48"/>
  <c r="F13" i="48"/>
  <c r="H13" i="48" s="1"/>
  <c r="E13" i="48"/>
  <c r="J12" i="48"/>
  <c r="F12" i="48"/>
  <c r="H12" i="48" s="1"/>
  <c r="E12" i="48"/>
  <c r="J11" i="48"/>
  <c r="F11" i="48"/>
  <c r="H11" i="48" s="1"/>
  <c r="E11" i="48"/>
  <c r="K10" i="48"/>
  <c r="J10" i="48"/>
  <c r="H10" i="48"/>
  <c r="G10" i="48"/>
  <c r="E10" i="48"/>
  <c r="K9" i="48"/>
  <c r="J9" i="48"/>
  <c r="H9" i="48"/>
  <c r="G9" i="48"/>
  <c r="E9" i="48"/>
  <c r="J8" i="48"/>
  <c r="F8" i="48"/>
  <c r="H8" i="48" s="1"/>
  <c r="E8" i="48"/>
  <c r="J7" i="48"/>
  <c r="F7" i="48"/>
  <c r="H7" i="48" s="1"/>
  <c r="E7" i="48"/>
  <c r="J6" i="48"/>
  <c r="F6" i="48"/>
  <c r="H6" i="48" s="1"/>
  <c r="E6" i="48"/>
  <c r="K5" i="48"/>
  <c r="J5" i="48"/>
  <c r="H5" i="48"/>
  <c r="G5" i="48"/>
  <c r="E5" i="48"/>
  <c r="I352" i="48" l="1"/>
  <c r="C259" i="48"/>
  <c r="I103" i="48"/>
  <c r="I148" i="48"/>
  <c r="J170" i="48"/>
  <c r="K204" i="48"/>
  <c r="G223" i="48"/>
  <c r="I223" i="48" s="1"/>
  <c r="K154" i="48"/>
  <c r="G303" i="48"/>
  <c r="K266" i="48"/>
  <c r="K62" i="48"/>
  <c r="G317" i="48"/>
  <c r="I317" i="48" s="1"/>
  <c r="G104" i="48"/>
  <c r="H173" i="48"/>
  <c r="H251" i="48"/>
  <c r="H277" i="48"/>
  <c r="I279" i="48"/>
  <c r="H314" i="48"/>
  <c r="I323" i="48"/>
  <c r="G204" i="48"/>
  <c r="I204" i="48" s="1"/>
  <c r="K315" i="48"/>
  <c r="I339" i="48"/>
  <c r="H436" i="48"/>
  <c r="G66" i="48"/>
  <c r="I66" i="48" s="1"/>
  <c r="G168" i="48"/>
  <c r="G267" i="48"/>
  <c r="I280" i="48"/>
  <c r="K64" i="48"/>
  <c r="I116" i="48"/>
  <c r="K185" i="48"/>
  <c r="I248" i="48"/>
  <c r="G254" i="48"/>
  <c r="I254" i="48" s="1"/>
  <c r="G266" i="48"/>
  <c r="H298" i="48"/>
  <c r="G299" i="48"/>
  <c r="I309" i="48"/>
  <c r="I325" i="48"/>
  <c r="H345" i="48"/>
  <c r="G346" i="48"/>
  <c r="I346" i="48" s="1"/>
  <c r="C4" i="48"/>
  <c r="I58" i="48"/>
  <c r="G64" i="48"/>
  <c r="I64" i="48" s="1"/>
  <c r="H167" i="48"/>
  <c r="I175" i="48"/>
  <c r="G185" i="48"/>
  <c r="H200" i="48"/>
  <c r="I205" i="48"/>
  <c r="K223" i="48"/>
  <c r="K254" i="48"/>
  <c r="K291" i="48"/>
  <c r="G164" i="48"/>
  <c r="I164" i="48" s="1"/>
  <c r="I102" i="48"/>
  <c r="I234" i="48"/>
  <c r="H302" i="48"/>
  <c r="H307" i="48"/>
  <c r="I310" i="48"/>
  <c r="I412" i="48"/>
  <c r="G62" i="48"/>
  <c r="I62" i="48" s="1"/>
  <c r="I168" i="48"/>
  <c r="K252" i="48"/>
  <c r="J274" i="48"/>
  <c r="J378" i="48"/>
  <c r="K431" i="48"/>
  <c r="G435" i="48"/>
  <c r="I435" i="48" s="1"/>
  <c r="G440" i="48"/>
  <c r="J97" i="48"/>
  <c r="C82" i="48"/>
  <c r="G126" i="48"/>
  <c r="I126" i="48" s="1"/>
  <c r="G138" i="48"/>
  <c r="I138" i="48" s="1"/>
  <c r="I147" i="48"/>
  <c r="G150" i="48"/>
  <c r="I150" i="48" s="1"/>
  <c r="G188" i="48"/>
  <c r="I188" i="48" s="1"/>
  <c r="G242" i="48"/>
  <c r="I265" i="48"/>
  <c r="I368" i="48"/>
  <c r="K440" i="48"/>
  <c r="J422" i="48"/>
  <c r="K317" i="48"/>
  <c r="K346" i="48"/>
  <c r="I397" i="48"/>
  <c r="I295" i="48"/>
  <c r="G431" i="48"/>
  <c r="I431" i="48" s="1"/>
  <c r="I57" i="48"/>
  <c r="G60" i="48"/>
  <c r="I60" i="48" s="1"/>
  <c r="K150" i="48"/>
  <c r="G154" i="48"/>
  <c r="G174" i="48"/>
  <c r="H184" i="48"/>
  <c r="K188" i="48"/>
  <c r="K242" i="48"/>
  <c r="G252" i="48"/>
  <c r="I252" i="48" s="1"/>
  <c r="G315" i="48"/>
  <c r="I315" i="48" s="1"/>
  <c r="J52" i="48"/>
  <c r="K60" i="48"/>
  <c r="K174" i="48"/>
  <c r="I185" i="48"/>
  <c r="G291" i="48"/>
  <c r="I264" i="48"/>
  <c r="J127" i="48"/>
  <c r="I398" i="48"/>
  <c r="J142" i="48"/>
  <c r="I154" i="48"/>
  <c r="J157" i="48"/>
  <c r="I174" i="48"/>
  <c r="I266" i="48"/>
  <c r="I299" i="48"/>
  <c r="I303" i="48"/>
  <c r="J67" i="48"/>
  <c r="G6" i="48"/>
  <c r="I6" i="48" s="1"/>
  <c r="G8" i="48"/>
  <c r="I8" i="48" s="1"/>
  <c r="I9" i="48"/>
  <c r="K12" i="48"/>
  <c r="G16" i="48"/>
  <c r="I16" i="48" s="1"/>
  <c r="K18" i="48"/>
  <c r="I42" i="48"/>
  <c r="I43" i="48"/>
  <c r="K69" i="48"/>
  <c r="G89" i="48"/>
  <c r="I89" i="48" s="1"/>
  <c r="G129" i="48"/>
  <c r="I129" i="48" s="1"/>
  <c r="G134" i="48"/>
  <c r="I134" i="48" s="1"/>
  <c r="I146" i="48"/>
  <c r="K159" i="48"/>
  <c r="K179" i="48"/>
  <c r="I190" i="48"/>
  <c r="K193" i="48"/>
  <c r="K195" i="48"/>
  <c r="I206" i="48"/>
  <c r="I207" i="48"/>
  <c r="K211" i="48"/>
  <c r="G215" i="48"/>
  <c r="I215" i="48" s="1"/>
  <c r="K218" i="48"/>
  <c r="H228" i="48"/>
  <c r="G229" i="48"/>
  <c r="H233" i="48"/>
  <c r="I235" i="48"/>
  <c r="I236" i="48"/>
  <c r="G239" i="48"/>
  <c r="I239" i="48" s="1"/>
  <c r="H268" i="48"/>
  <c r="G269" i="48"/>
  <c r="I269" i="48" s="1"/>
  <c r="G271" i="48"/>
  <c r="I271" i="48" s="1"/>
  <c r="H273" i="48"/>
  <c r="H284" i="48"/>
  <c r="I288" i="48"/>
  <c r="K296" i="48"/>
  <c r="G297" i="48"/>
  <c r="I297" i="48" s="1"/>
  <c r="K326" i="48"/>
  <c r="C334" i="48"/>
  <c r="G344" i="48"/>
  <c r="J348" i="48"/>
  <c r="K356" i="48"/>
  <c r="G360" i="48"/>
  <c r="I360" i="48" s="1"/>
  <c r="K377" i="48"/>
  <c r="G385" i="48"/>
  <c r="I385" i="48" s="1"/>
  <c r="G399" i="48"/>
  <c r="I399" i="48" s="1"/>
  <c r="K403" i="48"/>
  <c r="K417" i="48"/>
  <c r="K419" i="48"/>
  <c r="I442" i="48"/>
  <c r="I443" i="48"/>
  <c r="K447" i="48"/>
  <c r="G451" i="48"/>
  <c r="I451" i="48" s="1"/>
  <c r="I5" i="48"/>
  <c r="K6" i="48"/>
  <c r="K8" i="48"/>
  <c r="G12" i="48"/>
  <c r="I12" i="48" s="1"/>
  <c r="I15" i="48"/>
  <c r="K16" i="48"/>
  <c r="I26" i="48"/>
  <c r="G44" i="48"/>
  <c r="I44" i="48" s="1"/>
  <c r="G69" i="48"/>
  <c r="I69" i="48" s="1"/>
  <c r="I72" i="48"/>
  <c r="I73" i="48"/>
  <c r="I87" i="48"/>
  <c r="I88" i="48"/>
  <c r="G122" i="48"/>
  <c r="I122" i="48" s="1"/>
  <c r="I131" i="48"/>
  <c r="G159" i="48"/>
  <c r="I159" i="48" s="1"/>
  <c r="I176" i="48"/>
  <c r="I177" i="48"/>
  <c r="G179" i="48"/>
  <c r="I179" i="48" s="1"/>
  <c r="G193" i="48"/>
  <c r="I193" i="48" s="1"/>
  <c r="G195" i="48"/>
  <c r="G211" i="48"/>
  <c r="I211" i="48" s="1"/>
  <c r="K215" i="48"/>
  <c r="G218" i="48"/>
  <c r="I218" i="48" s="1"/>
  <c r="I222" i="48"/>
  <c r="K229" i="48"/>
  <c r="J244" i="48"/>
  <c r="K269" i="48"/>
  <c r="K271" i="48"/>
  <c r="C274" i="48"/>
  <c r="G282" i="48"/>
  <c r="I282" i="48" s="1"/>
  <c r="C289" i="48"/>
  <c r="G296" i="48"/>
  <c r="I296" i="48" s="1"/>
  <c r="G326" i="48"/>
  <c r="I326" i="48" s="1"/>
  <c r="I338" i="48"/>
  <c r="I353" i="48"/>
  <c r="I354" i="48"/>
  <c r="G356" i="48"/>
  <c r="I356" i="48" s="1"/>
  <c r="K360" i="48"/>
  <c r="H366" i="48"/>
  <c r="I367" i="48"/>
  <c r="H376" i="48"/>
  <c r="G377" i="48"/>
  <c r="I377" i="48" s="1"/>
  <c r="H388" i="48"/>
  <c r="G389" i="48"/>
  <c r="I389" i="48" s="1"/>
  <c r="K399" i="48"/>
  <c r="G403" i="48"/>
  <c r="I403" i="48" s="1"/>
  <c r="H416" i="48"/>
  <c r="G417" i="48"/>
  <c r="I417" i="48" s="1"/>
  <c r="G419" i="48"/>
  <c r="I419" i="48" s="1"/>
  <c r="H425" i="48"/>
  <c r="I427" i="48"/>
  <c r="I428" i="48"/>
  <c r="G447" i="48"/>
  <c r="K451" i="48"/>
  <c r="K20" i="48"/>
  <c r="G20" i="48"/>
  <c r="I20" i="48" s="1"/>
  <c r="K120" i="48"/>
  <c r="K140" i="48"/>
  <c r="K213" i="48"/>
  <c r="K240" i="48"/>
  <c r="K261" i="48"/>
  <c r="K281" i="48"/>
  <c r="K288" i="48"/>
  <c r="J323" i="48"/>
  <c r="K7" i="48"/>
  <c r="I10" i="48"/>
  <c r="K11" i="48"/>
  <c r="G13" i="48"/>
  <c r="I13" i="48" s="1"/>
  <c r="I14" i="48"/>
  <c r="G17" i="48"/>
  <c r="I17" i="48" s="1"/>
  <c r="G19" i="48"/>
  <c r="I19" i="48" s="1"/>
  <c r="C22" i="48"/>
  <c r="K40" i="48"/>
  <c r="G46" i="48"/>
  <c r="I46" i="48" s="1"/>
  <c r="G48" i="48"/>
  <c r="I48" i="48" s="1"/>
  <c r="G50" i="48"/>
  <c r="I50" i="48" s="1"/>
  <c r="G55" i="48"/>
  <c r="I55" i="48" s="1"/>
  <c r="I56" i="48"/>
  <c r="K66" i="48"/>
  <c r="I71" i="48"/>
  <c r="K74" i="48"/>
  <c r="K76" i="48"/>
  <c r="K78" i="48"/>
  <c r="K80" i="48"/>
  <c r="K85" i="48"/>
  <c r="G91" i="48"/>
  <c r="I91" i="48" s="1"/>
  <c r="G93" i="48"/>
  <c r="I93" i="48" s="1"/>
  <c r="G95" i="48"/>
  <c r="I95" i="48" s="1"/>
  <c r="G100" i="48"/>
  <c r="I100" i="48" s="1"/>
  <c r="I101" i="48"/>
  <c r="K104" i="48"/>
  <c r="K106" i="48"/>
  <c r="K108" i="48"/>
  <c r="K110" i="48"/>
  <c r="G124" i="48"/>
  <c r="I124" i="48" s="1"/>
  <c r="K126" i="48"/>
  <c r="K129" i="48"/>
  <c r="G136" i="48"/>
  <c r="I136" i="48" s="1"/>
  <c r="K138" i="48"/>
  <c r="H144" i="48"/>
  <c r="G145" i="48"/>
  <c r="I145" i="48" s="1"/>
  <c r="H151" i="48"/>
  <c r="G152" i="48"/>
  <c r="I152" i="48" s="1"/>
  <c r="I156" i="48"/>
  <c r="G166" i="48"/>
  <c r="I166" i="48" s="1"/>
  <c r="K168" i="48"/>
  <c r="K181" i="48"/>
  <c r="K183" i="48"/>
  <c r="H196" i="48"/>
  <c r="G197" i="48"/>
  <c r="I197" i="48" s="1"/>
  <c r="G199" i="48"/>
  <c r="I199" i="48" s="1"/>
  <c r="H208" i="48"/>
  <c r="G209" i="48"/>
  <c r="I209" i="48" s="1"/>
  <c r="I220" i="48"/>
  <c r="H224" i="48"/>
  <c r="G225" i="48"/>
  <c r="I225" i="48" s="1"/>
  <c r="G227" i="48"/>
  <c r="I227" i="48" s="1"/>
  <c r="K232" i="48"/>
  <c r="H237" i="48"/>
  <c r="G238" i="48"/>
  <c r="I238" i="48" s="1"/>
  <c r="K239" i="48"/>
  <c r="G240" i="48"/>
  <c r="I240" i="48" s="1"/>
  <c r="H243" i="48"/>
  <c r="G247" i="48"/>
  <c r="I247" i="48" s="1"/>
  <c r="H255" i="48"/>
  <c r="G256" i="48"/>
  <c r="G258" i="48"/>
  <c r="I258" i="48" s="1"/>
  <c r="K267" i="48"/>
  <c r="H272" i="48"/>
  <c r="G273" i="48"/>
  <c r="I273" i="48" s="1"/>
  <c r="G276" i="48"/>
  <c r="I276" i="48" s="1"/>
  <c r="G284" i="48"/>
  <c r="I284" i="48" s="1"/>
  <c r="K286" i="48"/>
  <c r="I293" i="48"/>
  <c r="K299" i="48"/>
  <c r="K301" i="48"/>
  <c r="H303" i="48"/>
  <c r="K306" i="48"/>
  <c r="J304" i="48"/>
  <c r="G311" i="48"/>
  <c r="I311" i="48" s="1"/>
  <c r="G313" i="48"/>
  <c r="I313" i="48" s="1"/>
  <c r="C319" i="48"/>
  <c r="K322" i="48"/>
  <c r="K328" i="48"/>
  <c r="G329" i="48"/>
  <c r="I329" i="48" s="1"/>
  <c r="K330" i="48"/>
  <c r="K332" i="48"/>
  <c r="G333" i="48"/>
  <c r="I333" i="48" s="1"/>
  <c r="G336" i="48"/>
  <c r="I336" i="48" s="1"/>
  <c r="K342" i="48"/>
  <c r="G343" i="48"/>
  <c r="I343" i="48" s="1"/>
  <c r="H361" i="48"/>
  <c r="G362" i="48"/>
  <c r="I362" i="48" s="1"/>
  <c r="K365" i="48"/>
  <c r="H370" i="48"/>
  <c r="G371" i="48"/>
  <c r="I371" i="48" s="1"/>
  <c r="G375" i="48"/>
  <c r="I375" i="48" s="1"/>
  <c r="G380" i="48"/>
  <c r="I380" i="48" s="1"/>
  <c r="G387" i="48"/>
  <c r="I387" i="48" s="1"/>
  <c r="K389" i="48"/>
  <c r="K391" i="48"/>
  <c r="G394" i="48"/>
  <c r="I394" i="48" s="1"/>
  <c r="I396" i="48"/>
  <c r="H400" i="48"/>
  <c r="G401" i="48"/>
  <c r="I401" i="48" s="1"/>
  <c r="H409" i="48"/>
  <c r="G410" i="48"/>
  <c r="I410" i="48" s="1"/>
  <c r="I411" i="48"/>
  <c r="K415" i="48"/>
  <c r="H420" i="48"/>
  <c r="G421" i="48"/>
  <c r="I421" i="48" s="1"/>
  <c r="G424" i="48"/>
  <c r="I424" i="48" s="1"/>
  <c r="H432" i="48"/>
  <c r="G433" i="48"/>
  <c r="I433" i="48" s="1"/>
  <c r="K435" i="48"/>
  <c r="J437" i="48"/>
  <c r="H448" i="48"/>
  <c r="G449" i="48"/>
  <c r="I449" i="48" s="1"/>
  <c r="K156" i="48"/>
  <c r="J22" i="48"/>
  <c r="K29" i="48"/>
  <c r="K32" i="48"/>
  <c r="K36" i="48"/>
  <c r="J82" i="48"/>
  <c r="K124" i="48"/>
  <c r="K136" i="48"/>
  <c r="K145" i="48"/>
  <c r="K152" i="48"/>
  <c r="H156" i="48"/>
  <c r="J186" i="48"/>
  <c r="I195" i="48"/>
  <c r="K209" i="48"/>
  <c r="I229" i="48"/>
  <c r="K238" i="48"/>
  <c r="I242" i="48"/>
  <c r="I267" i="48"/>
  <c r="H288" i="48"/>
  <c r="I291" i="48"/>
  <c r="K336" i="48"/>
  <c r="K338" i="48"/>
  <c r="K362" i="48"/>
  <c r="K380" i="48"/>
  <c r="K394" i="48"/>
  <c r="K401" i="48"/>
  <c r="K421" i="48"/>
  <c r="K433" i="48"/>
  <c r="I440" i="48"/>
  <c r="I447" i="48"/>
  <c r="K449" i="48"/>
  <c r="J4" i="48"/>
  <c r="J37" i="48"/>
  <c r="I104" i="48"/>
  <c r="J112" i="48"/>
  <c r="G7" i="48"/>
  <c r="I7" i="48" s="1"/>
  <c r="G11" i="48"/>
  <c r="I11" i="48" s="1"/>
  <c r="K13" i="48"/>
  <c r="K17" i="48"/>
  <c r="K19" i="48"/>
  <c r="H25" i="48"/>
  <c r="I27" i="48"/>
  <c r="I28" i="48"/>
  <c r="G32" i="48"/>
  <c r="I32" i="48" s="1"/>
  <c r="K33" i="48"/>
  <c r="H34" i="48"/>
  <c r="G36" i="48"/>
  <c r="I36" i="48" s="1"/>
  <c r="G40" i="48"/>
  <c r="I40" i="48" s="1"/>
  <c r="I41" i="48"/>
  <c r="K44" i="48"/>
  <c r="K46" i="48"/>
  <c r="K48" i="48"/>
  <c r="K50" i="48"/>
  <c r="K55" i="48"/>
  <c r="G74" i="48"/>
  <c r="I74" i="48" s="1"/>
  <c r="G76" i="48"/>
  <c r="I76" i="48" s="1"/>
  <c r="G78" i="48"/>
  <c r="I78" i="48" s="1"/>
  <c r="G80" i="48"/>
  <c r="I80" i="48" s="1"/>
  <c r="G85" i="48"/>
  <c r="I85" i="48" s="1"/>
  <c r="I86" i="48"/>
  <c r="K89" i="48"/>
  <c r="K91" i="48"/>
  <c r="K93" i="48"/>
  <c r="K95" i="48"/>
  <c r="K100" i="48"/>
  <c r="G106" i="48"/>
  <c r="I106" i="48" s="1"/>
  <c r="G108" i="48"/>
  <c r="I108" i="48" s="1"/>
  <c r="G110" i="48"/>
  <c r="I110" i="48" s="1"/>
  <c r="G115" i="48"/>
  <c r="I115" i="48" s="1"/>
  <c r="I117" i="48"/>
  <c r="I118" i="48"/>
  <c r="G120" i="48"/>
  <c r="I120" i="48" s="1"/>
  <c r="K122" i="48"/>
  <c r="I133" i="48"/>
  <c r="K134" i="48"/>
  <c r="G140" i="48"/>
  <c r="I140" i="48" s="1"/>
  <c r="H155" i="48"/>
  <c r="H160" i="48"/>
  <c r="I162" i="48"/>
  <c r="I163" i="48"/>
  <c r="K164" i="48"/>
  <c r="K166" i="48"/>
  <c r="H180" i="48"/>
  <c r="G181" i="48"/>
  <c r="I181" i="48" s="1"/>
  <c r="G183" i="48"/>
  <c r="I183" i="48" s="1"/>
  <c r="H189" i="48"/>
  <c r="I191" i="48"/>
  <c r="I192" i="48"/>
  <c r="K197" i="48"/>
  <c r="K199" i="48"/>
  <c r="J201" i="48"/>
  <c r="H212" i="48"/>
  <c r="G213" i="48"/>
  <c r="I213" i="48" s="1"/>
  <c r="J216" i="48"/>
  <c r="K225" i="48"/>
  <c r="K227" i="48"/>
  <c r="G232" i="48"/>
  <c r="I232" i="48" s="1"/>
  <c r="K247" i="48"/>
  <c r="I249" i="48"/>
  <c r="I256" i="48"/>
  <c r="K256" i="48"/>
  <c r="K258" i="48"/>
  <c r="G261" i="48"/>
  <c r="I261" i="48" s="1"/>
  <c r="I263" i="48"/>
  <c r="K276" i="48"/>
  <c r="G281" i="48"/>
  <c r="I281" i="48" s="1"/>
  <c r="K282" i="48"/>
  <c r="H285" i="48"/>
  <c r="G286" i="48"/>
  <c r="I286" i="48" s="1"/>
  <c r="J289" i="48"/>
  <c r="K297" i="48"/>
  <c r="G301" i="48"/>
  <c r="I301" i="48" s="1"/>
  <c r="G306" i="48"/>
  <c r="I306" i="48" s="1"/>
  <c r="I308" i="48"/>
  <c r="K311" i="48"/>
  <c r="K313" i="48"/>
  <c r="H318" i="48"/>
  <c r="G322" i="48"/>
  <c r="I322" i="48" s="1"/>
  <c r="H327" i="48"/>
  <c r="G328" i="48"/>
  <c r="I328" i="48" s="1"/>
  <c r="K329" i="48"/>
  <c r="G330" i="48"/>
  <c r="I330" i="48" s="1"/>
  <c r="G332" i="48"/>
  <c r="I332" i="48" s="1"/>
  <c r="I340" i="48"/>
  <c r="G342" i="48"/>
  <c r="I342" i="48" s="1"/>
  <c r="K344" i="48"/>
  <c r="H350" i="48"/>
  <c r="G351" i="48"/>
  <c r="I351" i="48" s="1"/>
  <c r="H357" i="48"/>
  <c r="G358" i="48"/>
  <c r="I358" i="48" s="1"/>
  <c r="G365" i="48"/>
  <c r="I365" i="48" s="1"/>
  <c r="K371" i="48"/>
  <c r="K375" i="48"/>
  <c r="H381" i="48"/>
  <c r="I383" i="48"/>
  <c r="I384" i="48"/>
  <c r="K385" i="48"/>
  <c r="K387" i="48"/>
  <c r="G391" i="48"/>
  <c r="I391" i="48" s="1"/>
  <c r="J392" i="48"/>
  <c r="H404" i="48"/>
  <c r="G405" i="48"/>
  <c r="I405" i="48" s="1"/>
  <c r="K410" i="48"/>
  <c r="I413" i="48"/>
  <c r="G415" i="48"/>
  <c r="I415" i="48" s="1"/>
  <c r="K424" i="48"/>
  <c r="G429" i="48"/>
  <c r="I429" i="48" s="1"/>
  <c r="H444" i="48"/>
  <c r="G445" i="48"/>
  <c r="I445" i="48" s="1"/>
  <c r="K333" i="48"/>
  <c r="K343" i="48"/>
  <c r="I344" i="48"/>
  <c r="K351" i="48"/>
  <c r="K358" i="48"/>
  <c r="K405" i="48"/>
  <c r="K429" i="48"/>
  <c r="K445" i="48"/>
  <c r="K182" i="48"/>
  <c r="G182" i="48"/>
  <c r="I182" i="48" s="1"/>
  <c r="H182" i="48"/>
  <c r="K194" i="48"/>
  <c r="G194" i="48"/>
  <c r="I194" i="48" s="1"/>
  <c r="H194" i="48"/>
  <c r="K219" i="48"/>
  <c r="G219" i="48"/>
  <c r="I219" i="48" s="1"/>
  <c r="H219" i="48"/>
  <c r="K226" i="48"/>
  <c r="G226" i="48"/>
  <c r="I226" i="48" s="1"/>
  <c r="H226" i="48"/>
  <c r="K246" i="48"/>
  <c r="G246" i="48"/>
  <c r="I246" i="48" s="1"/>
  <c r="H246" i="48"/>
  <c r="K253" i="48"/>
  <c r="G253" i="48"/>
  <c r="I253" i="48" s="1"/>
  <c r="H253" i="48"/>
  <c r="K287" i="48"/>
  <c r="G287" i="48"/>
  <c r="I287" i="48" s="1"/>
  <c r="H287" i="48"/>
  <c r="K292" i="48"/>
  <c r="G292" i="48"/>
  <c r="I292" i="48" s="1"/>
  <c r="H292" i="48"/>
  <c r="K316" i="48"/>
  <c r="G316" i="48"/>
  <c r="I316" i="48" s="1"/>
  <c r="H316" i="48"/>
  <c r="J367" i="48"/>
  <c r="J363" i="48" s="1"/>
  <c r="K367" i="48"/>
  <c r="C363" i="48"/>
  <c r="K372" i="48"/>
  <c r="G372" i="48"/>
  <c r="I372" i="48" s="1"/>
  <c r="H372" i="48"/>
  <c r="K373" i="48"/>
  <c r="G373" i="48"/>
  <c r="I373" i="48" s="1"/>
  <c r="H373" i="48"/>
  <c r="K374" i="48"/>
  <c r="G374" i="48"/>
  <c r="I374" i="48" s="1"/>
  <c r="H374" i="48"/>
  <c r="K418" i="48"/>
  <c r="G418" i="48"/>
  <c r="I418" i="48" s="1"/>
  <c r="H418" i="48"/>
  <c r="H18" i="48"/>
  <c r="H31" i="48"/>
  <c r="G18" i="48"/>
  <c r="I18" i="48" s="1"/>
  <c r="G25" i="48"/>
  <c r="I25" i="48" s="1"/>
  <c r="G29" i="48"/>
  <c r="I29" i="48" s="1"/>
  <c r="G31" i="48"/>
  <c r="I31" i="48" s="1"/>
  <c r="G34" i="48"/>
  <c r="I34" i="48" s="1"/>
  <c r="G45" i="48"/>
  <c r="I45" i="48" s="1"/>
  <c r="K45" i="48"/>
  <c r="G49" i="48"/>
  <c r="I49" i="48" s="1"/>
  <c r="K49" i="48"/>
  <c r="G54" i="48"/>
  <c r="I54" i="48" s="1"/>
  <c r="K54" i="48"/>
  <c r="G61" i="48"/>
  <c r="I61" i="48" s="1"/>
  <c r="K61" i="48"/>
  <c r="G65" i="48"/>
  <c r="I65" i="48" s="1"/>
  <c r="K65" i="48"/>
  <c r="G70" i="48"/>
  <c r="I70" i="48" s="1"/>
  <c r="K70" i="48"/>
  <c r="G77" i="48"/>
  <c r="I77" i="48" s="1"/>
  <c r="K77" i="48"/>
  <c r="G81" i="48"/>
  <c r="I81" i="48" s="1"/>
  <c r="K81" i="48"/>
  <c r="G90" i="48"/>
  <c r="I90" i="48" s="1"/>
  <c r="K90" i="48"/>
  <c r="G94" i="48"/>
  <c r="I94" i="48" s="1"/>
  <c r="K94" i="48"/>
  <c r="G99" i="48"/>
  <c r="I99" i="48" s="1"/>
  <c r="K99" i="48"/>
  <c r="G107" i="48"/>
  <c r="I107" i="48" s="1"/>
  <c r="K107" i="48"/>
  <c r="G111" i="48"/>
  <c r="I111" i="48" s="1"/>
  <c r="K111" i="48"/>
  <c r="K115" i="48"/>
  <c r="I161" i="48"/>
  <c r="J171" i="48"/>
  <c r="I221" i="48"/>
  <c r="I278" i="48"/>
  <c r="I294" i="48"/>
  <c r="J407" i="48"/>
  <c r="K121" i="48"/>
  <c r="G121" i="48"/>
  <c r="I121" i="48" s="1"/>
  <c r="K125" i="48"/>
  <c r="G125" i="48"/>
  <c r="I125" i="48" s="1"/>
  <c r="K137" i="48"/>
  <c r="G137" i="48"/>
  <c r="I137" i="48" s="1"/>
  <c r="K141" i="48"/>
  <c r="G141" i="48"/>
  <c r="I141" i="48" s="1"/>
  <c r="K153" i="48"/>
  <c r="G153" i="48"/>
  <c r="I153" i="48" s="1"/>
  <c r="H153" i="48"/>
  <c r="K165" i="48"/>
  <c r="G165" i="48"/>
  <c r="I165" i="48" s="1"/>
  <c r="H165" i="48"/>
  <c r="K203" i="48"/>
  <c r="G203" i="48"/>
  <c r="I203" i="48" s="1"/>
  <c r="H203" i="48"/>
  <c r="K210" i="48"/>
  <c r="G210" i="48"/>
  <c r="I210" i="48" s="1"/>
  <c r="H210" i="48"/>
  <c r="J234" i="48"/>
  <c r="J230" i="48" s="1"/>
  <c r="K234" i="48"/>
  <c r="C230" i="48"/>
  <c r="K241" i="48"/>
  <c r="G241" i="48"/>
  <c r="I241" i="48" s="1"/>
  <c r="H241" i="48"/>
  <c r="K355" i="48"/>
  <c r="G355" i="48"/>
  <c r="I355" i="48" s="1"/>
  <c r="H355" i="48"/>
  <c r="K390" i="48"/>
  <c r="G390" i="48"/>
  <c r="I390" i="48" s="1"/>
  <c r="H390" i="48"/>
  <c r="K395" i="48"/>
  <c r="G395" i="48"/>
  <c r="I395" i="48" s="1"/>
  <c r="H395" i="48"/>
  <c r="K402" i="48"/>
  <c r="G402" i="48"/>
  <c r="I402" i="48" s="1"/>
  <c r="H402" i="48"/>
  <c r="K434" i="48"/>
  <c r="G434" i="48"/>
  <c r="I434" i="48" s="1"/>
  <c r="H434" i="48"/>
  <c r="K450" i="48"/>
  <c r="G450" i="48"/>
  <c r="I450" i="48" s="1"/>
  <c r="H450" i="48"/>
  <c r="H24" i="48"/>
  <c r="H30" i="48"/>
  <c r="H35" i="48"/>
  <c r="H39" i="48"/>
  <c r="H47" i="48"/>
  <c r="H51" i="48"/>
  <c r="H59" i="48"/>
  <c r="H63" i="48"/>
  <c r="H75" i="48"/>
  <c r="H79" i="48"/>
  <c r="H84" i="48"/>
  <c r="H92" i="48"/>
  <c r="H96" i="48"/>
  <c r="H105" i="48"/>
  <c r="H109" i="48"/>
  <c r="H114" i="48"/>
  <c r="K178" i="48"/>
  <c r="G178" i="48"/>
  <c r="I178" i="48" s="1"/>
  <c r="H178" i="48"/>
  <c r="K198" i="48"/>
  <c r="G198" i="48"/>
  <c r="I198" i="48" s="1"/>
  <c r="H198" i="48"/>
  <c r="K257" i="48"/>
  <c r="G257" i="48"/>
  <c r="I257" i="48" s="1"/>
  <c r="H257" i="48"/>
  <c r="K270" i="48"/>
  <c r="G270" i="48"/>
  <c r="I270" i="48" s="1"/>
  <c r="H270" i="48"/>
  <c r="K312" i="48"/>
  <c r="G312" i="48"/>
  <c r="I312" i="48" s="1"/>
  <c r="H312" i="48"/>
  <c r="K331" i="48"/>
  <c r="G331" i="48"/>
  <c r="I331" i="48" s="1"/>
  <c r="H331" i="48"/>
  <c r="K341" i="48"/>
  <c r="G341" i="48"/>
  <c r="I341" i="48" s="1"/>
  <c r="H341" i="48"/>
  <c r="K347" i="48"/>
  <c r="G347" i="48"/>
  <c r="I347" i="48" s="1"/>
  <c r="H347" i="48"/>
  <c r="K414" i="48"/>
  <c r="G414" i="48"/>
  <c r="I414" i="48" s="1"/>
  <c r="H414" i="48"/>
  <c r="K458" i="48"/>
  <c r="J459" i="48" s="1"/>
  <c r="G458" i="48"/>
  <c r="I458" i="48" s="1"/>
  <c r="H458" i="48"/>
  <c r="H33" i="48"/>
  <c r="G24" i="48"/>
  <c r="I24" i="48" s="1"/>
  <c r="G30" i="48"/>
  <c r="I30" i="48" s="1"/>
  <c r="G33" i="48"/>
  <c r="I33" i="48" s="1"/>
  <c r="G35" i="48"/>
  <c r="I35" i="48" s="1"/>
  <c r="G39" i="48"/>
  <c r="I39" i="48" s="1"/>
  <c r="G47" i="48"/>
  <c r="I47" i="48" s="1"/>
  <c r="G51" i="48"/>
  <c r="I51" i="48" s="1"/>
  <c r="G59" i="48"/>
  <c r="I59" i="48" s="1"/>
  <c r="G63" i="48"/>
  <c r="I63" i="48" s="1"/>
  <c r="G75" i="48"/>
  <c r="I75" i="48" s="1"/>
  <c r="G79" i="48"/>
  <c r="I79" i="48" s="1"/>
  <c r="G84" i="48"/>
  <c r="I84" i="48" s="1"/>
  <c r="G92" i="48"/>
  <c r="I92" i="48" s="1"/>
  <c r="G96" i="48"/>
  <c r="I96" i="48" s="1"/>
  <c r="G105" i="48"/>
  <c r="I105" i="48" s="1"/>
  <c r="G109" i="48"/>
  <c r="I109" i="48" s="1"/>
  <c r="G114" i="48"/>
  <c r="I114" i="48" s="1"/>
  <c r="I132" i="48"/>
  <c r="I250" i="48"/>
  <c r="J259" i="48"/>
  <c r="J319" i="48"/>
  <c r="I324" i="48"/>
  <c r="I369" i="48"/>
  <c r="I382" i="48"/>
  <c r="I426" i="48"/>
  <c r="K119" i="48"/>
  <c r="G119" i="48"/>
  <c r="I119" i="48" s="1"/>
  <c r="K123" i="48"/>
  <c r="G123" i="48"/>
  <c r="I123" i="48" s="1"/>
  <c r="K130" i="48"/>
  <c r="G130" i="48"/>
  <c r="I130" i="48" s="1"/>
  <c r="K135" i="48"/>
  <c r="G135" i="48"/>
  <c r="I135" i="48" s="1"/>
  <c r="K139" i="48"/>
  <c r="G139" i="48"/>
  <c r="I139" i="48" s="1"/>
  <c r="K149" i="48"/>
  <c r="G149" i="48"/>
  <c r="I149" i="48" s="1"/>
  <c r="H149" i="48"/>
  <c r="K169" i="48"/>
  <c r="G169" i="48"/>
  <c r="I169" i="48" s="1"/>
  <c r="H169" i="48"/>
  <c r="K170" i="48"/>
  <c r="G170" i="48"/>
  <c r="I170" i="48" s="1"/>
  <c r="H170" i="48"/>
  <c r="K214" i="48"/>
  <c r="G214" i="48"/>
  <c r="I214" i="48" s="1"/>
  <c r="H214" i="48"/>
  <c r="K262" i="48"/>
  <c r="G262" i="48"/>
  <c r="I262" i="48" s="1"/>
  <c r="H262" i="48"/>
  <c r="K283" i="48"/>
  <c r="G283" i="48"/>
  <c r="I283" i="48" s="1"/>
  <c r="H283" i="48"/>
  <c r="K300" i="48"/>
  <c r="G300" i="48"/>
  <c r="I300" i="48" s="1"/>
  <c r="H300" i="48"/>
  <c r="K321" i="48"/>
  <c r="G321" i="48"/>
  <c r="I321" i="48" s="1"/>
  <c r="H321" i="48"/>
  <c r="K337" i="48"/>
  <c r="G337" i="48"/>
  <c r="I337" i="48" s="1"/>
  <c r="H337" i="48"/>
  <c r="K359" i="48"/>
  <c r="G359" i="48"/>
  <c r="I359" i="48" s="1"/>
  <c r="H359" i="48"/>
  <c r="K386" i="48"/>
  <c r="G386" i="48"/>
  <c r="I386" i="48" s="1"/>
  <c r="H386" i="48"/>
  <c r="K406" i="48"/>
  <c r="G406" i="48"/>
  <c r="I406" i="48" s="1"/>
  <c r="H406" i="48"/>
  <c r="K430" i="48"/>
  <c r="G430" i="48"/>
  <c r="I430" i="48" s="1"/>
  <c r="H430" i="48"/>
  <c r="K439" i="48"/>
  <c r="G439" i="48"/>
  <c r="I439" i="48" s="1"/>
  <c r="H439" i="48"/>
  <c r="K446" i="48"/>
  <c r="G446" i="48"/>
  <c r="I446" i="48" s="1"/>
  <c r="H446" i="48"/>
  <c r="G144" i="48"/>
  <c r="I144" i="48" s="1"/>
  <c r="G151" i="48"/>
  <c r="I151" i="48" s="1"/>
  <c r="G155" i="48"/>
  <c r="I155" i="48" s="1"/>
  <c r="G160" i="48"/>
  <c r="I160" i="48" s="1"/>
  <c r="G167" i="48"/>
  <c r="I167" i="48" s="1"/>
  <c r="G173" i="48"/>
  <c r="I173" i="48" s="1"/>
  <c r="G180" i="48"/>
  <c r="I180" i="48" s="1"/>
  <c r="G184" i="48"/>
  <c r="I184" i="48" s="1"/>
  <c r="G189" i="48"/>
  <c r="I189" i="48" s="1"/>
  <c r="G196" i="48"/>
  <c r="I196" i="48" s="1"/>
  <c r="G200" i="48"/>
  <c r="I200" i="48" s="1"/>
  <c r="G208" i="48"/>
  <c r="I208" i="48" s="1"/>
  <c r="G212" i="48"/>
  <c r="I212" i="48" s="1"/>
  <c r="G224" i="48"/>
  <c r="I224" i="48" s="1"/>
  <c r="G228" i="48"/>
  <c r="I228" i="48" s="1"/>
  <c r="G233" i="48"/>
  <c r="I233" i="48" s="1"/>
  <c r="G237" i="48"/>
  <c r="I237" i="48" s="1"/>
  <c r="G243" i="48"/>
  <c r="I243" i="48" s="1"/>
  <c r="G251" i="48"/>
  <c r="I251" i="48" s="1"/>
  <c r="G255" i="48"/>
  <c r="I255" i="48" s="1"/>
  <c r="G268" i="48"/>
  <c r="I268" i="48" s="1"/>
  <c r="G272" i="48"/>
  <c r="I272" i="48" s="1"/>
  <c r="G277" i="48"/>
  <c r="I277" i="48" s="1"/>
  <c r="G285" i="48"/>
  <c r="I285" i="48" s="1"/>
  <c r="G298" i="48"/>
  <c r="I298" i="48" s="1"/>
  <c r="G302" i="48"/>
  <c r="I302" i="48" s="1"/>
  <c r="G307" i="48"/>
  <c r="I307" i="48" s="1"/>
  <c r="G314" i="48"/>
  <c r="I314" i="48" s="1"/>
  <c r="G318" i="48"/>
  <c r="I318" i="48" s="1"/>
  <c r="G327" i="48"/>
  <c r="I327" i="48" s="1"/>
  <c r="J338" i="48"/>
  <c r="J334" i="48" s="1"/>
  <c r="G345" i="48"/>
  <c r="I345" i="48" s="1"/>
  <c r="G350" i="48"/>
  <c r="I350" i="48" s="1"/>
  <c r="G357" i="48"/>
  <c r="I357" i="48" s="1"/>
  <c r="G361" i="48"/>
  <c r="I361" i="48" s="1"/>
  <c r="G366" i="48"/>
  <c r="I366" i="48" s="1"/>
  <c r="G370" i="48"/>
  <c r="I370" i="48" s="1"/>
  <c r="G376" i="48"/>
  <c r="I376" i="48" s="1"/>
  <c r="G381" i="48"/>
  <c r="I381" i="48" s="1"/>
  <c r="G388" i="48"/>
  <c r="I388" i="48" s="1"/>
  <c r="G400" i="48"/>
  <c r="I400" i="48" s="1"/>
  <c r="G404" i="48"/>
  <c r="I404" i="48" s="1"/>
  <c r="G409" i="48"/>
  <c r="I409" i="48" s="1"/>
  <c r="G416" i="48"/>
  <c r="I416" i="48" s="1"/>
  <c r="G420" i="48"/>
  <c r="I420" i="48" s="1"/>
  <c r="G425" i="48"/>
  <c r="I425" i="48" s="1"/>
  <c r="G432" i="48"/>
  <c r="I432" i="48" s="1"/>
  <c r="G436" i="48"/>
  <c r="I436" i="48" s="1"/>
  <c r="G444" i="48"/>
  <c r="I444" i="48" s="1"/>
  <c r="G448" i="48"/>
  <c r="I448" i="48" s="1"/>
  <c r="K22" i="48" l="1"/>
  <c r="K274" i="48"/>
  <c r="C452" i="48"/>
  <c r="K422" i="48"/>
  <c r="K363" i="48"/>
  <c r="K392" i="48"/>
  <c r="K319" i="48"/>
  <c r="K186" i="48"/>
  <c r="K334" i="48"/>
  <c r="K289" i="48"/>
  <c r="K171" i="48"/>
  <c r="K437" i="48"/>
  <c r="K230" i="48"/>
  <c r="K407" i="48"/>
  <c r="K378" i="48"/>
  <c r="K4" i="48"/>
  <c r="K157" i="48"/>
  <c r="K127" i="48"/>
  <c r="K82" i="48"/>
  <c r="K37" i="48"/>
  <c r="K216" i="48"/>
  <c r="K112" i="48"/>
  <c r="K259" i="48"/>
  <c r="K67" i="48"/>
  <c r="K304" i="48"/>
  <c r="K244" i="48"/>
  <c r="J452" i="48"/>
  <c r="K142" i="48"/>
  <c r="K348" i="48"/>
  <c r="K201" i="48"/>
  <c r="K97" i="48"/>
  <c r="K52" i="48"/>
  <c r="K452" i="48" l="1"/>
  <c r="J453" i="48" s="1"/>
  <c r="J460" i="48" s="1"/>
  <c r="J461" i="48" l="1"/>
  <c r="K16" i="47"/>
  <c r="E25" i="47"/>
  <c r="D25" i="47"/>
  <c r="D27" i="47"/>
  <c r="D26" i="47"/>
  <c r="C26" i="47"/>
  <c r="E24" i="47"/>
  <c r="C24" i="47" s="1"/>
  <c r="C23" i="47"/>
  <c r="D20" i="47"/>
  <c r="C20" i="47" s="1"/>
  <c r="E18" i="47"/>
  <c r="C18" i="47" s="1"/>
  <c r="D21" i="47"/>
  <c r="C19" i="47"/>
  <c r="C17" i="47"/>
  <c r="E27" i="47" l="1"/>
  <c r="C25" i="47"/>
  <c r="C27" i="47" s="1"/>
  <c r="C21" i="47"/>
  <c r="E21" i="47"/>
  <c r="D15" i="47"/>
  <c r="C14" i="47"/>
  <c r="C13" i="47"/>
  <c r="C7" i="47"/>
  <c r="C6" i="47"/>
  <c r="E12" i="47"/>
  <c r="C12" i="47" s="1"/>
  <c r="C11" i="47"/>
  <c r="C15" i="47" l="1"/>
  <c r="E15" i="47"/>
  <c r="D8" i="47"/>
  <c r="E8" i="47"/>
  <c r="C5" i="47"/>
  <c r="C4" i="47"/>
  <c r="C8" i="47" l="1"/>
  <c r="E24" i="46" l="1"/>
  <c r="I16" i="46"/>
  <c r="E7" i="46"/>
  <c r="E8" i="46"/>
  <c r="J30" i="46"/>
  <c r="I30" i="46"/>
  <c r="I31" i="46" s="1"/>
  <c r="J16" i="46"/>
  <c r="E29" i="46"/>
  <c r="E28" i="46"/>
  <c r="E26" i="46"/>
  <c r="G29" i="46"/>
  <c r="G28" i="46"/>
  <c r="G26" i="46"/>
  <c r="G24" i="46"/>
  <c r="H24" i="46" s="1"/>
  <c r="G23" i="46"/>
  <c r="G21" i="46"/>
  <c r="E23" i="46"/>
  <c r="E22" i="46"/>
  <c r="E21" i="46"/>
  <c r="C20" i="46"/>
  <c r="G6" i="46"/>
  <c r="G7" i="46"/>
  <c r="G8" i="46"/>
  <c r="G5" i="46"/>
  <c r="E15" i="46"/>
  <c r="E14" i="46"/>
  <c r="E10" i="46"/>
  <c r="E6" i="46"/>
  <c r="E5" i="46"/>
  <c r="C27" i="46"/>
  <c r="E27" i="46" s="1"/>
  <c r="F22" i="46"/>
  <c r="G22" i="46" s="1"/>
  <c r="F15" i="46"/>
  <c r="G15" i="46" s="1"/>
  <c r="H15" i="46" s="1"/>
  <c r="F14" i="46"/>
  <c r="G14" i="46" s="1"/>
  <c r="F13" i="46"/>
  <c r="C13" i="46"/>
  <c r="F12" i="46"/>
  <c r="C12" i="46"/>
  <c r="F11" i="46"/>
  <c r="C11" i="46"/>
  <c r="E11" i="46" s="1"/>
  <c r="F10" i="46"/>
  <c r="G10" i="46" s="1"/>
  <c r="C4" i="46"/>
  <c r="H7" i="46" l="1"/>
  <c r="H8" i="46"/>
  <c r="J31" i="46"/>
  <c r="H10" i="46"/>
  <c r="G27" i="46"/>
  <c r="H27" i="46" s="1"/>
  <c r="H28" i="46"/>
  <c r="H29" i="46"/>
  <c r="H21" i="46"/>
  <c r="C25" i="46"/>
  <c r="C30" i="46" s="1"/>
  <c r="H5" i="46"/>
  <c r="H26" i="46"/>
  <c r="G4" i="46"/>
  <c r="E20" i="46"/>
  <c r="H22" i="46"/>
  <c r="H23" i="46"/>
  <c r="E4" i="46"/>
  <c r="E25" i="46"/>
  <c r="G20" i="46"/>
  <c r="H14" i="46"/>
  <c r="G13" i="46"/>
  <c r="H6" i="46"/>
  <c r="G12" i="46"/>
  <c r="E13" i="46"/>
  <c r="G11" i="46"/>
  <c r="H11" i="46" s="1"/>
  <c r="E12" i="46"/>
  <c r="C9" i="46"/>
  <c r="C16" i="46" s="1"/>
  <c r="H13" i="46" l="1"/>
  <c r="G25" i="46"/>
  <c r="H25" i="46"/>
  <c r="E30" i="46"/>
  <c r="H20" i="46"/>
  <c r="H4" i="46"/>
  <c r="G30" i="46"/>
  <c r="E9" i="46"/>
  <c r="E16" i="46" s="1"/>
  <c r="G9" i="46"/>
  <c r="G16" i="46" s="1"/>
  <c r="C31" i="46"/>
  <c r="H12" i="46"/>
  <c r="H9" i="46" s="1"/>
  <c r="H30" i="46" l="1"/>
  <c r="H33" i="46" s="1"/>
  <c r="E31" i="46"/>
  <c r="G31" i="46"/>
  <c r="G33" i="46"/>
  <c r="H16" i="46"/>
  <c r="H31" i="46" l="1"/>
  <c r="M116" i="45" l="1"/>
  <c r="C128" i="45"/>
  <c r="F127" i="45"/>
  <c r="E127" i="45"/>
  <c r="G126" i="45"/>
  <c r="F126" i="45"/>
  <c r="G125" i="45"/>
  <c r="F125" i="45"/>
  <c r="G124" i="45"/>
  <c r="F124" i="45"/>
  <c r="G123" i="45"/>
  <c r="F123" i="45"/>
  <c r="G122" i="45"/>
  <c r="F122" i="45"/>
  <c r="C115" i="45"/>
  <c r="F114" i="45"/>
  <c r="E114" i="45"/>
  <c r="G114" i="45" s="1"/>
  <c r="F113" i="45"/>
  <c r="E113" i="45"/>
  <c r="G113" i="45" s="1"/>
  <c r="F112" i="45"/>
  <c r="F115" i="45" s="1"/>
  <c r="E112" i="45"/>
  <c r="G112" i="45" s="1"/>
  <c r="C110" i="45"/>
  <c r="F109" i="45"/>
  <c r="E109" i="45"/>
  <c r="H109" i="45" s="1"/>
  <c r="F108" i="45"/>
  <c r="E108" i="45"/>
  <c r="H108" i="45" s="1"/>
  <c r="F105" i="45"/>
  <c r="E105" i="45"/>
  <c r="G105" i="45" s="1"/>
  <c r="F104" i="45"/>
  <c r="E104" i="45"/>
  <c r="G104" i="45" s="1"/>
  <c r="C102" i="45"/>
  <c r="F101" i="45"/>
  <c r="E101" i="45"/>
  <c r="G101" i="45" s="1"/>
  <c r="F100" i="45"/>
  <c r="E100" i="45"/>
  <c r="G100" i="45" s="1"/>
  <c r="G99" i="45"/>
  <c r="F99" i="45"/>
  <c r="F98" i="45"/>
  <c r="E98" i="45"/>
  <c r="H98" i="45" s="1"/>
  <c r="F97" i="45"/>
  <c r="E97" i="45"/>
  <c r="H97" i="45" s="1"/>
  <c r="F96" i="45"/>
  <c r="E96" i="45"/>
  <c r="H96" i="45" s="1"/>
  <c r="F95" i="45"/>
  <c r="E95" i="45"/>
  <c r="H95" i="45" s="1"/>
  <c r="F94" i="45"/>
  <c r="E94" i="45"/>
  <c r="H94" i="45" s="1"/>
  <c r="F93" i="45"/>
  <c r="E93" i="45"/>
  <c r="H93" i="45" s="1"/>
  <c r="C90" i="45"/>
  <c r="F89" i="45"/>
  <c r="E89" i="45"/>
  <c r="G89" i="45" s="1"/>
  <c r="H88" i="45"/>
  <c r="G88" i="45"/>
  <c r="F88" i="45"/>
  <c r="F87" i="45"/>
  <c r="E87" i="45"/>
  <c r="G87" i="45" s="1"/>
  <c r="F86" i="45"/>
  <c r="E86" i="45"/>
  <c r="G86" i="45" s="1"/>
  <c r="F85" i="45"/>
  <c r="E85" i="45"/>
  <c r="G85" i="45" s="1"/>
  <c r="F84" i="45"/>
  <c r="E84" i="45"/>
  <c r="G84" i="45" s="1"/>
  <c r="F83" i="45"/>
  <c r="E83" i="45"/>
  <c r="G83" i="45" s="1"/>
  <c r="F82" i="45"/>
  <c r="E82" i="45"/>
  <c r="G82" i="45" s="1"/>
  <c r="F81" i="45"/>
  <c r="E81" i="45"/>
  <c r="G81" i="45" s="1"/>
  <c r="F80" i="45"/>
  <c r="E80" i="45"/>
  <c r="G80" i="45" s="1"/>
  <c r="F79" i="45"/>
  <c r="E79" i="45"/>
  <c r="G79" i="45" s="1"/>
  <c r="F78" i="45"/>
  <c r="E78" i="45"/>
  <c r="G78" i="45" s="1"/>
  <c r="F77" i="45"/>
  <c r="E77" i="45"/>
  <c r="G77" i="45" s="1"/>
  <c r="F76" i="45"/>
  <c r="E76" i="45"/>
  <c r="G76" i="45" s="1"/>
  <c r="C74" i="45"/>
  <c r="F73" i="45"/>
  <c r="E73" i="45"/>
  <c r="H73" i="45" s="1"/>
  <c r="F72" i="45"/>
  <c r="E72" i="45"/>
  <c r="H72" i="45" s="1"/>
  <c r="F71" i="45"/>
  <c r="E71" i="45"/>
  <c r="H71" i="45" s="1"/>
  <c r="F70" i="45"/>
  <c r="E70" i="45"/>
  <c r="H70" i="45" s="1"/>
  <c r="F69" i="45"/>
  <c r="E69" i="45"/>
  <c r="H69" i="45" s="1"/>
  <c r="F68" i="45"/>
  <c r="E68" i="45"/>
  <c r="H68" i="45" s="1"/>
  <c r="F67" i="45"/>
  <c r="E67" i="45"/>
  <c r="H67" i="45" s="1"/>
  <c r="H66" i="45"/>
  <c r="G66" i="45"/>
  <c r="F66" i="45"/>
  <c r="F65" i="45"/>
  <c r="E65" i="45"/>
  <c r="H65" i="45" s="1"/>
  <c r="F64" i="45"/>
  <c r="E64" i="45"/>
  <c r="H64" i="45" s="1"/>
  <c r="F63" i="45"/>
  <c r="E63" i="45"/>
  <c r="H63" i="45" s="1"/>
  <c r="F62" i="45"/>
  <c r="E62" i="45"/>
  <c r="H62" i="45" s="1"/>
  <c r="F61" i="45"/>
  <c r="E61" i="45"/>
  <c r="H61" i="45" s="1"/>
  <c r="F60" i="45"/>
  <c r="E60" i="45"/>
  <c r="H60" i="45" s="1"/>
  <c r="F59" i="45"/>
  <c r="E59" i="45"/>
  <c r="H59" i="45" s="1"/>
  <c r="F58" i="45"/>
  <c r="E58" i="45"/>
  <c r="H58" i="45" s="1"/>
  <c r="F57" i="45"/>
  <c r="E57" i="45"/>
  <c r="H57" i="45" s="1"/>
  <c r="F56" i="45"/>
  <c r="E56" i="45"/>
  <c r="H56" i="45" s="1"/>
  <c r="F55" i="45"/>
  <c r="E55" i="45"/>
  <c r="H55" i="45" s="1"/>
  <c r="F54" i="45"/>
  <c r="E54" i="45"/>
  <c r="H54" i="45" s="1"/>
  <c r="F53" i="45"/>
  <c r="E53" i="45"/>
  <c r="H53" i="45" s="1"/>
  <c r="H52" i="45"/>
  <c r="G52" i="45"/>
  <c r="F52" i="45"/>
  <c r="F51" i="45"/>
  <c r="E51" i="45"/>
  <c r="G51" i="45" s="1"/>
  <c r="F50" i="45"/>
  <c r="E50" i="45"/>
  <c r="G50" i="45" s="1"/>
  <c r="F49" i="45"/>
  <c r="E49" i="45"/>
  <c r="G49" i="45" s="1"/>
  <c r="F48" i="45"/>
  <c r="E48" i="45"/>
  <c r="G48" i="45" s="1"/>
  <c r="F47" i="45"/>
  <c r="E47" i="45"/>
  <c r="G47" i="45" s="1"/>
  <c r="F46" i="45"/>
  <c r="E46" i="45"/>
  <c r="G46" i="45" s="1"/>
  <c r="F45" i="45"/>
  <c r="E45" i="45"/>
  <c r="G45" i="45" s="1"/>
  <c r="F44" i="45"/>
  <c r="E44" i="45"/>
  <c r="G44" i="45" s="1"/>
  <c r="F43" i="45"/>
  <c r="E43" i="45"/>
  <c r="G43" i="45" s="1"/>
  <c r="F42" i="45"/>
  <c r="E42" i="45"/>
  <c r="G42" i="45" s="1"/>
  <c r="F41" i="45"/>
  <c r="E41" i="45"/>
  <c r="G41" i="45" s="1"/>
  <c r="F40" i="45"/>
  <c r="E40" i="45"/>
  <c r="G40" i="45" s="1"/>
  <c r="F39" i="45"/>
  <c r="E39" i="45"/>
  <c r="G39" i="45" s="1"/>
  <c r="F38" i="45"/>
  <c r="E38" i="45"/>
  <c r="G38" i="45" s="1"/>
  <c r="F37" i="45"/>
  <c r="E37" i="45"/>
  <c r="G37" i="45" s="1"/>
  <c r="C35" i="45"/>
  <c r="F34" i="45"/>
  <c r="E34" i="45"/>
  <c r="G34" i="45" s="1"/>
  <c r="F33" i="45"/>
  <c r="E33" i="45"/>
  <c r="G33" i="45" s="1"/>
  <c r="F32" i="45"/>
  <c r="E32" i="45"/>
  <c r="G32" i="45" s="1"/>
  <c r="C30" i="45"/>
  <c r="F29" i="45"/>
  <c r="E29" i="45"/>
  <c r="H29" i="45" s="1"/>
  <c r="F28" i="45"/>
  <c r="E28" i="45"/>
  <c r="H28" i="45" s="1"/>
  <c r="F27" i="45"/>
  <c r="E27" i="45"/>
  <c r="H27" i="45" s="1"/>
  <c r="F26" i="45"/>
  <c r="E26" i="45"/>
  <c r="H26" i="45" s="1"/>
  <c r="F25" i="45"/>
  <c r="E25" i="45"/>
  <c r="H25" i="45" s="1"/>
  <c r="F24" i="45"/>
  <c r="E24" i="45"/>
  <c r="H24" i="45" s="1"/>
  <c r="F23" i="45"/>
  <c r="E23" i="45"/>
  <c r="H23" i="45" s="1"/>
  <c r="F22" i="45"/>
  <c r="E22" i="45"/>
  <c r="H22" i="45" s="1"/>
  <c r="G21" i="45"/>
  <c r="F21" i="45"/>
  <c r="F20" i="45"/>
  <c r="E20" i="45"/>
  <c r="G20" i="45" s="1"/>
  <c r="F19" i="45"/>
  <c r="E19" i="45"/>
  <c r="G19" i="45" s="1"/>
  <c r="F18" i="45"/>
  <c r="E18" i="45"/>
  <c r="G18" i="45" s="1"/>
  <c r="F17" i="45"/>
  <c r="E17" i="45"/>
  <c r="G17" i="45" s="1"/>
  <c r="F16" i="45"/>
  <c r="E16" i="45"/>
  <c r="G16" i="45" s="1"/>
  <c r="F15" i="45"/>
  <c r="E15" i="45"/>
  <c r="G15" i="45" s="1"/>
  <c r="F14" i="45"/>
  <c r="E14" i="45"/>
  <c r="G14" i="45" s="1"/>
  <c r="F13" i="45"/>
  <c r="E13" i="45"/>
  <c r="G13" i="45" s="1"/>
  <c r="F12" i="45"/>
  <c r="E12" i="45"/>
  <c r="G12" i="45" s="1"/>
  <c r="F11" i="45"/>
  <c r="E11" i="45"/>
  <c r="G11" i="45" s="1"/>
  <c r="F10" i="45"/>
  <c r="E10" i="45"/>
  <c r="G10" i="45" s="1"/>
  <c r="F9" i="45"/>
  <c r="E9" i="45"/>
  <c r="G9" i="45" s="1"/>
  <c r="F8" i="45"/>
  <c r="E8" i="45"/>
  <c r="G8" i="45" s="1"/>
  <c r="H7" i="45"/>
  <c r="G7" i="45"/>
  <c r="F7" i="45"/>
  <c r="F6" i="45"/>
  <c r="E6" i="45"/>
  <c r="H6" i="45" s="1"/>
  <c r="G97" i="45" l="1"/>
  <c r="G65" i="45"/>
  <c r="G35" i="45"/>
  <c r="H32" i="45"/>
  <c r="H87" i="45"/>
  <c r="H34" i="45"/>
  <c r="F102" i="45"/>
  <c r="F106" i="45"/>
  <c r="F110" i="45"/>
  <c r="G115" i="45"/>
  <c r="H100" i="45"/>
  <c r="H113" i="45"/>
  <c r="G90" i="45"/>
  <c r="G6" i="45"/>
  <c r="F74" i="45"/>
  <c r="H76" i="45"/>
  <c r="H78" i="45"/>
  <c r="H80" i="45"/>
  <c r="H82" i="45"/>
  <c r="H84" i="45"/>
  <c r="H86" i="45"/>
  <c r="G95" i="45"/>
  <c r="F128" i="45"/>
  <c r="F30" i="45"/>
  <c r="C116" i="45"/>
  <c r="F35" i="45"/>
  <c r="H33" i="45"/>
  <c r="G93" i="45"/>
  <c r="G94" i="45"/>
  <c r="G98" i="45"/>
  <c r="H101" i="45"/>
  <c r="H112" i="45"/>
  <c r="H114" i="45"/>
  <c r="G127" i="45"/>
  <c r="I128" i="45" s="1"/>
  <c r="H77" i="45"/>
  <c r="H79" i="45"/>
  <c r="H81" i="45"/>
  <c r="H83" i="45"/>
  <c r="H85" i="45"/>
  <c r="F90" i="45"/>
  <c r="H8" i="45"/>
  <c r="H9" i="45"/>
  <c r="H10" i="45"/>
  <c r="H11" i="45"/>
  <c r="H12" i="45"/>
  <c r="H13" i="45"/>
  <c r="H14" i="45"/>
  <c r="H15" i="45"/>
  <c r="H16" i="45"/>
  <c r="H17" i="45"/>
  <c r="H18" i="45"/>
  <c r="H19" i="45"/>
  <c r="H20" i="45"/>
  <c r="G53" i="45"/>
  <c r="G54" i="45"/>
  <c r="G55" i="45"/>
  <c r="G56" i="45"/>
  <c r="G57" i="45"/>
  <c r="G58" i="45"/>
  <c r="G59" i="45"/>
  <c r="G60" i="45"/>
  <c r="G61" i="45"/>
  <c r="G62" i="45"/>
  <c r="G63" i="45"/>
  <c r="G64" i="45"/>
  <c r="G96" i="45"/>
  <c r="G106" i="45"/>
  <c r="G22" i="45"/>
  <c r="G23" i="45"/>
  <c r="G24" i="45"/>
  <c r="G25" i="45"/>
  <c r="G26" i="45"/>
  <c r="G27" i="45"/>
  <c r="G28" i="45"/>
  <c r="G29" i="45"/>
  <c r="G67" i="45"/>
  <c r="G68" i="45"/>
  <c r="G69" i="45"/>
  <c r="G70" i="45"/>
  <c r="G71" i="45"/>
  <c r="G72" i="45"/>
  <c r="G73" i="45"/>
  <c r="G108" i="45"/>
  <c r="G109" i="45"/>
  <c r="H37" i="45"/>
  <c r="H38" i="45"/>
  <c r="H39" i="45"/>
  <c r="H40" i="45"/>
  <c r="H41" i="45"/>
  <c r="H42" i="45"/>
  <c r="H43" i="45"/>
  <c r="H44" i="45"/>
  <c r="H45" i="45"/>
  <c r="H46" i="45"/>
  <c r="H47" i="45"/>
  <c r="H48" i="45"/>
  <c r="H49" i="45"/>
  <c r="H50" i="45"/>
  <c r="H51" i="45"/>
  <c r="H89" i="45"/>
  <c r="H104" i="45"/>
  <c r="H105" i="45"/>
  <c r="G128" i="45" l="1"/>
  <c r="F129" i="45" s="1"/>
  <c r="F116" i="45"/>
  <c r="G110" i="45"/>
  <c r="G74" i="45"/>
  <c r="G30" i="45"/>
  <c r="G102" i="45"/>
  <c r="I117" i="45" l="1"/>
  <c r="I118" i="45"/>
  <c r="G116" i="45"/>
  <c r="F117" i="45" s="1"/>
  <c r="F130" i="45" s="1"/>
  <c r="F131" i="45" s="1"/>
  <c r="I116" i="45" l="1"/>
  <c r="M118" i="45" s="1"/>
  <c r="M119" i="45" s="1"/>
  <c r="R59" i="42" l="1"/>
  <c r="R60" i="42"/>
  <c r="R63" i="42"/>
  <c r="H19" i="42"/>
  <c r="C19" i="42"/>
  <c r="D41" i="42"/>
  <c r="E41" i="42" s="1"/>
  <c r="I40" i="42"/>
  <c r="J40" i="42" s="1"/>
  <c r="D40" i="42"/>
  <c r="E40" i="42" s="1"/>
  <c r="I41" i="42"/>
  <c r="J41" i="42" s="1"/>
  <c r="H40" i="42"/>
  <c r="H49" i="42"/>
  <c r="M49" i="42" s="1"/>
  <c r="H50" i="42"/>
  <c r="H51" i="42"/>
  <c r="H52" i="42"/>
  <c r="M52" i="42" s="1"/>
  <c r="H53" i="42"/>
  <c r="M53" i="42" s="1"/>
  <c r="H54" i="42"/>
  <c r="H55" i="42"/>
  <c r="H56" i="42"/>
  <c r="M56" i="42" s="1"/>
  <c r="H48" i="42"/>
  <c r="M48" i="42" s="1"/>
  <c r="D57" i="42"/>
  <c r="E57" i="42" s="1"/>
  <c r="D55" i="42"/>
  <c r="D56" i="42" s="1"/>
  <c r="F56" i="42" s="1"/>
  <c r="G56" i="42" s="1"/>
  <c r="D54" i="42"/>
  <c r="F54" i="42" s="1"/>
  <c r="G54" i="42" s="1"/>
  <c r="D53" i="42"/>
  <c r="D52" i="42"/>
  <c r="F52" i="42" s="1"/>
  <c r="G52" i="42" s="1"/>
  <c r="D51" i="42"/>
  <c r="F51" i="42" s="1"/>
  <c r="G51" i="42" s="1"/>
  <c r="D50" i="42"/>
  <c r="F50" i="42" s="1"/>
  <c r="G50" i="42" s="1"/>
  <c r="D49" i="42"/>
  <c r="D48" i="42"/>
  <c r="F48" i="42" s="1"/>
  <c r="I57" i="42"/>
  <c r="I55" i="42"/>
  <c r="I56" i="42" s="1"/>
  <c r="I54" i="42"/>
  <c r="I53" i="42"/>
  <c r="J53" i="42" s="1"/>
  <c r="I52" i="42"/>
  <c r="I51" i="42"/>
  <c r="J51" i="42" s="1"/>
  <c r="I50" i="42"/>
  <c r="I49" i="42"/>
  <c r="J49" i="42" s="1"/>
  <c r="I48" i="42"/>
  <c r="C57" i="42"/>
  <c r="H57" i="42" s="1"/>
  <c r="H4" i="42"/>
  <c r="C4" i="42"/>
  <c r="C30" i="42"/>
  <c r="I39" i="42"/>
  <c r="J39" i="42" s="1"/>
  <c r="D39" i="42"/>
  <c r="E39" i="42" s="1"/>
  <c r="D38" i="42"/>
  <c r="F38" i="42" s="1"/>
  <c r="G38" i="42" s="1"/>
  <c r="I38" i="42"/>
  <c r="J38" i="42" s="1"/>
  <c r="H38" i="42"/>
  <c r="I37" i="42"/>
  <c r="J37" i="42" s="1"/>
  <c r="H37" i="42"/>
  <c r="D37" i="42"/>
  <c r="F37" i="42" s="1"/>
  <c r="G37" i="42" s="1"/>
  <c r="H39" i="42"/>
  <c r="H36" i="42"/>
  <c r="H41" i="42"/>
  <c r="H35" i="42"/>
  <c r="H34" i="42"/>
  <c r="N50" i="42" l="1"/>
  <c r="O50" i="42" s="1"/>
  <c r="N54" i="42"/>
  <c r="O54" i="42" s="1"/>
  <c r="N49" i="42"/>
  <c r="O49" i="42" s="1"/>
  <c r="N53" i="42"/>
  <c r="O53" i="42" s="1"/>
  <c r="H47" i="42"/>
  <c r="N48" i="42"/>
  <c r="O48" i="42" s="1"/>
  <c r="N52" i="42"/>
  <c r="O52" i="42" s="1"/>
  <c r="N57" i="42"/>
  <c r="O57" i="42" s="1"/>
  <c r="J55" i="42"/>
  <c r="F49" i="42"/>
  <c r="G49" i="42" s="1"/>
  <c r="E49" i="42"/>
  <c r="E53" i="42"/>
  <c r="K49" i="42"/>
  <c r="L49" i="42" s="1"/>
  <c r="E38" i="42"/>
  <c r="E48" i="42"/>
  <c r="E52" i="42"/>
  <c r="E56" i="42"/>
  <c r="J50" i="42"/>
  <c r="J54" i="42"/>
  <c r="C47" i="42"/>
  <c r="E37" i="42"/>
  <c r="E51" i="42"/>
  <c r="E55" i="42"/>
  <c r="J57" i="42"/>
  <c r="N56" i="42"/>
  <c r="O56" i="42" s="1"/>
  <c r="F53" i="42"/>
  <c r="G53" i="42" s="1"/>
  <c r="K54" i="42"/>
  <c r="L54" i="42" s="1"/>
  <c r="E50" i="42"/>
  <c r="E54" i="42"/>
  <c r="J48" i="42"/>
  <c r="J52" i="42"/>
  <c r="J56" i="42"/>
  <c r="N40" i="42"/>
  <c r="F40" i="42"/>
  <c r="G40" i="42" s="1"/>
  <c r="M40" i="42"/>
  <c r="K53" i="42"/>
  <c r="L53" i="42" s="1"/>
  <c r="K40" i="42"/>
  <c r="L40" i="42" s="1"/>
  <c r="K56" i="42"/>
  <c r="L56" i="42" s="1"/>
  <c r="M57" i="42"/>
  <c r="K57" i="42"/>
  <c r="L57" i="42" s="1"/>
  <c r="P50" i="42"/>
  <c r="Q50" i="42" s="1"/>
  <c r="P48" i="42"/>
  <c r="M50" i="42"/>
  <c r="N51" i="42"/>
  <c r="M54" i="42"/>
  <c r="N55" i="42"/>
  <c r="H30" i="42"/>
  <c r="F57" i="42"/>
  <c r="G57" i="42" s="1"/>
  <c r="K51" i="42"/>
  <c r="L51" i="42" s="1"/>
  <c r="K52" i="42"/>
  <c r="L52" i="42" s="1"/>
  <c r="K55" i="42"/>
  <c r="L55" i="42" s="1"/>
  <c r="M51" i="42"/>
  <c r="M55" i="42"/>
  <c r="F55" i="42"/>
  <c r="G55" i="42" s="1"/>
  <c r="K48" i="42"/>
  <c r="K50" i="42"/>
  <c r="L50" i="42" s="1"/>
  <c r="P54" i="42"/>
  <c r="Q54" i="42" s="1"/>
  <c r="G48" i="42"/>
  <c r="N38" i="42"/>
  <c r="N37" i="42"/>
  <c r="N39" i="42"/>
  <c r="F39" i="42"/>
  <c r="G39" i="42" s="1"/>
  <c r="M37" i="42"/>
  <c r="K37" i="42"/>
  <c r="L37" i="42" s="1"/>
  <c r="M38" i="42"/>
  <c r="K38" i="42"/>
  <c r="L38" i="42" s="1"/>
  <c r="M39" i="42"/>
  <c r="K39" i="42"/>
  <c r="L39" i="42" s="1"/>
  <c r="M35" i="42"/>
  <c r="D35" i="42"/>
  <c r="E35" i="42" s="1"/>
  <c r="I35" i="42"/>
  <c r="I33" i="42"/>
  <c r="J33" i="42" s="1"/>
  <c r="I32" i="42"/>
  <c r="J32" i="42" s="1"/>
  <c r="I31" i="42"/>
  <c r="J31" i="42" s="1"/>
  <c r="P52" i="42" l="1"/>
  <c r="Q52" i="42" s="1"/>
  <c r="G47" i="42"/>
  <c r="F35" i="42"/>
  <c r="G35" i="42" s="1"/>
  <c r="P53" i="42"/>
  <c r="Q53" i="42" s="1"/>
  <c r="P57" i="42"/>
  <c r="Q57" i="42" s="1"/>
  <c r="P49" i="42"/>
  <c r="Q49" i="42" s="1"/>
  <c r="P56" i="42"/>
  <c r="Q56" i="42" s="1"/>
  <c r="K47" i="42"/>
  <c r="F47" i="42"/>
  <c r="M47" i="42"/>
  <c r="P37" i="42"/>
  <c r="Q37" i="42" s="1"/>
  <c r="O37" i="42"/>
  <c r="P40" i="42"/>
  <c r="Q40" i="42" s="1"/>
  <c r="O40" i="42"/>
  <c r="P39" i="42"/>
  <c r="Q39" i="42" s="1"/>
  <c r="O39" i="42"/>
  <c r="P51" i="42"/>
  <c r="Q51" i="42" s="1"/>
  <c r="O51" i="42"/>
  <c r="K35" i="42"/>
  <c r="L35" i="42" s="1"/>
  <c r="J35" i="42"/>
  <c r="N35" i="42"/>
  <c r="P38" i="42"/>
  <c r="Q38" i="42" s="1"/>
  <c r="O38" i="42"/>
  <c r="L48" i="42"/>
  <c r="L47" i="42" s="1"/>
  <c r="P55" i="42"/>
  <c r="Q55" i="42" s="1"/>
  <c r="O55" i="42"/>
  <c r="Q48" i="42"/>
  <c r="D33" i="42"/>
  <c r="D32" i="42"/>
  <c r="D31" i="42"/>
  <c r="K31" i="42"/>
  <c r="M31" i="42"/>
  <c r="K32" i="42"/>
  <c r="L32" i="42" s="1"/>
  <c r="M32" i="42"/>
  <c r="K33" i="42"/>
  <c r="L33" i="42" s="1"/>
  <c r="M33" i="42"/>
  <c r="M41" i="42"/>
  <c r="N41" i="42"/>
  <c r="F41" i="42"/>
  <c r="G41" i="42" s="1"/>
  <c r="M36" i="42"/>
  <c r="I36" i="42"/>
  <c r="J36" i="42" s="1"/>
  <c r="D36" i="42"/>
  <c r="M34" i="42"/>
  <c r="I34" i="42"/>
  <c r="D34" i="42"/>
  <c r="M24" i="42"/>
  <c r="M23" i="42"/>
  <c r="M22" i="42"/>
  <c r="M21" i="42"/>
  <c r="M20" i="42"/>
  <c r="D24" i="42"/>
  <c r="E24" i="42" s="1"/>
  <c r="D23" i="42"/>
  <c r="E23" i="42" s="1"/>
  <c r="D22" i="42"/>
  <c r="E22" i="42" s="1"/>
  <c r="D21" i="42"/>
  <c r="E21" i="42" s="1"/>
  <c r="D20" i="42"/>
  <c r="E20" i="42" s="1"/>
  <c r="D13" i="42"/>
  <c r="E13" i="42" s="1"/>
  <c r="D12" i="42"/>
  <c r="E12" i="42" s="1"/>
  <c r="D11" i="42"/>
  <c r="E11" i="42" s="1"/>
  <c r="D10" i="42"/>
  <c r="E10" i="42" s="1"/>
  <c r="D9" i="42"/>
  <c r="E9" i="42" s="1"/>
  <c r="D8" i="42"/>
  <c r="E8" i="42" s="1"/>
  <c r="D7" i="42"/>
  <c r="E7" i="42" s="1"/>
  <c r="D6" i="42"/>
  <c r="E6" i="42" s="1"/>
  <c r="D5" i="42"/>
  <c r="E5" i="42" s="1"/>
  <c r="Q47" i="42" l="1"/>
  <c r="P47" i="42"/>
  <c r="M19" i="42"/>
  <c r="K36" i="42"/>
  <c r="L36" i="42" s="1"/>
  <c r="F31" i="42"/>
  <c r="G31" i="42" s="1"/>
  <c r="E31" i="42"/>
  <c r="O35" i="42"/>
  <c r="P35" i="42"/>
  <c r="Q35" i="42" s="1"/>
  <c r="F36" i="42"/>
  <c r="G36" i="42" s="1"/>
  <c r="E36" i="42"/>
  <c r="F33" i="42"/>
  <c r="G33" i="42" s="1"/>
  <c r="E33" i="42"/>
  <c r="K34" i="42"/>
  <c r="J34" i="42"/>
  <c r="F34" i="42"/>
  <c r="G34" i="42" s="1"/>
  <c r="E34" i="42"/>
  <c r="P41" i="42"/>
  <c r="Q41" i="42" s="1"/>
  <c r="O41" i="42"/>
  <c r="N32" i="42"/>
  <c r="O32" i="42" s="1"/>
  <c r="E32" i="42"/>
  <c r="N31" i="42"/>
  <c r="O31" i="42" s="1"/>
  <c r="M30" i="42"/>
  <c r="L31" i="42"/>
  <c r="N33" i="42"/>
  <c r="N34" i="42"/>
  <c r="N36" i="42"/>
  <c r="F32" i="42"/>
  <c r="G32" i="42" s="1"/>
  <c r="L34" i="42"/>
  <c r="K41" i="42"/>
  <c r="L41" i="42" s="1"/>
  <c r="P31" i="42" l="1"/>
  <c r="P32" i="42"/>
  <c r="Q32" i="42" s="1"/>
  <c r="P33" i="42"/>
  <c r="Q33" i="42" s="1"/>
  <c r="O33" i="42"/>
  <c r="P34" i="42"/>
  <c r="Q34" i="42" s="1"/>
  <c r="O34" i="42"/>
  <c r="P36" i="42"/>
  <c r="Q36" i="42" s="1"/>
  <c r="O36" i="42"/>
  <c r="K30" i="42"/>
  <c r="G30" i="42"/>
  <c r="F30" i="42"/>
  <c r="L30" i="42"/>
  <c r="Q31" i="42"/>
  <c r="P30" i="42" l="1"/>
  <c r="Q30" i="42"/>
  <c r="M13" i="42"/>
  <c r="M12" i="42"/>
  <c r="M11" i="42"/>
  <c r="M6" i="42"/>
  <c r="M7" i="42"/>
  <c r="M8" i="42"/>
  <c r="M9" i="42"/>
  <c r="M10" i="42"/>
  <c r="M5" i="42"/>
  <c r="I24" i="42"/>
  <c r="J24" i="42" s="1"/>
  <c r="I23" i="42"/>
  <c r="J23" i="42" s="1"/>
  <c r="I22" i="42"/>
  <c r="J22" i="42" s="1"/>
  <c r="I21" i="42"/>
  <c r="I20" i="42"/>
  <c r="J20" i="42" s="1"/>
  <c r="I13" i="42"/>
  <c r="I12" i="42"/>
  <c r="I11" i="42"/>
  <c r="I10" i="42"/>
  <c r="I9" i="42"/>
  <c r="I8" i="42"/>
  <c r="I7" i="42"/>
  <c r="I6" i="42"/>
  <c r="I5" i="42"/>
  <c r="F24" i="42"/>
  <c r="G24" i="42" s="1"/>
  <c r="F23" i="42"/>
  <c r="G23" i="42" s="1"/>
  <c r="F22" i="42"/>
  <c r="G22" i="42" s="1"/>
  <c r="F21" i="42"/>
  <c r="G21" i="42" s="1"/>
  <c r="F20" i="42"/>
  <c r="F13" i="42"/>
  <c r="G13" i="42" s="1"/>
  <c r="F12" i="42"/>
  <c r="F11" i="42"/>
  <c r="G11" i="42" s="1"/>
  <c r="F10" i="42"/>
  <c r="G10" i="42" s="1"/>
  <c r="F9" i="42"/>
  <c r="G9" i="42" s="1"/>
  <c r="F8" i="42"/>
  <c r="G8" i="42" s="1"/>
  <c r="F7" i="42"/>
  <c r="G7" i="42" s="1"/>
  <c r="F6" i="42"/>
  <c r="G6" i="42" s="1"/>
  <c r="F5" i="42"/>
  <c r="F19" i="42" l="1"/>
  <c r="F4" i="42"/>
  <c r="N6" i="42"/>
  <c r="P6" i="42" s="1"/>
  <c r="Q6" i="42" s="1"/>
  <c r="J6" i="42"/>
  <c r="N10" i="42"/>
  <c r="P10" i="42" s="1"/>
  <c r="Q10" i="42" s="1"/>
  <c r="J10" i="42"/>
  <c r="K5" i="42"/>
  <c r="J5" i="42"/>
  <c r="K9" i="42"/>
  <c r="L9" i="42" s="1"/>
  <c r="J9" i="42"/>
  <c r="N13" i="42"/>
  <c r="O13" i="42" s="1"/>
  <c r="J13" i="42"/>
  <c r="N8" i="42"/>
  <c r="P8" i="42" s="1"/>
  <c r="Q8" i="42" s="1"/>
  <c r="J8" i="42"/>
  <c r="K12" i="42"/>
  <c r="L12" i="42" s="1"/>
  <c r="J12" i="42"/>
  <c r="K7" i="42"/>
  <c r="L7" i="42" s="1"/>
  <c r="J7" i="42"/>
  <c r="K11" i="42"/>
  <c r="L11" i="42" s="1"/>
  <c r="J11" i="42"/>
  <c r="N21" i="42"/>
  <c r="J21" i="42"/>
  <c r="M4" i="42"/>
  <c r="P13" i="42"/>
  <c r="Q13" i="42" s="1"/>
  <c r="K8" i="42"/>
  <c r="L8" i="42" s="1"/>
  <c r="K21" i="42"/>
  <c r="L21" i="42" s="1"/>
  <c r="K24" i="42"/>
  <c r="L24" i="42" s="1"/>
  <c r="N24" i="42"/>
  <c r="K20" i="42"/>
  <c r="N20" i="42"/>
  <c r="K23" i="42"/>
  <c r="L23" i="42" s="1"/>
  <c r="N23" i="42"/>
  <c r="K22" i="42"/>
  <c r="L22" i="42" s="1"/>
  <c r="N22" i="42"/>
  <c r="G20" i="42"/>
  <c r="G19" i="42" s="1"/>
  <c r="K6" i="42"/>
  <c r="L6" i="42" s="1"/>
  <c r="K13" i="42"/>
  <c r="L13" i="42" s="1"/>
  <c r="N5" i="42"/>
  <c r="O5" i="42" s="1"/>
  <c r="N11" i="42"/>
  <c r="N9" i="42"/>
  <c r="N7" i="42"/>
  <c r="K10" i="42"/>
  <c r="L10" i="42" s="1"/>
  <c r="N12" i="42"/>
  <c r="L5" i="42"/>
  <c r="G5" i="42"/>
  <c r="G12" i="42"/>
  <c r="O10" i="42" l="1"/>
  <c r="O6" i="42"/>
  <c r="K19" i="42"/>
  <c r="L20" i="42"/>
  <c r="L19" i="42" s="1"/>
  <c r="G4" i="42"/>
  <c r="G58" i="42" s="1"/>
  <c r="O8" i="42"/>
  <c r="P23" i="42"/>
  <c r="Q23" i="42" s="1"/>
  <c r="O23" i="42"/>
  <c r="P24" i="42"/>
  <c r="Q24" i="42" s="1"/>
  <c r="O24" i="42"/>
  <c r="P20" i="42"/>
  <c r="O20" i="42"/>
  <c r="P21" i="42"/>
  <c r="Q21" i="42" s="1"/>
  <c r="O21" i="42"/>
  <c r="P22" i="42"/>
  <c r="Q22" i="42" s="1"/>
  <c r="O22" i="42"/>
  <c r="L4" i="42"/>
  <c r="P9" i="42"/>
  <c r="Q9" i="42" s="1"/>
  <c r="O9" i="42"/>
  <c r="P7" i="42"/>
  <c r="Q7" i="42" s="1"/>
  <c r="O7" i="42"/>
  <c r="P12" i="42"/>
  <c r="Q12" i="42" s="1"/>
  <c r="O12" i="42"/>
  <c r="P11" i="42"/>
  <c r="Q11" i="42" s="1"/>
  <c r="O11" i="42"/>
  <c r="K4" i="42"/>
  <c r="P5" i="42"/>
  <c r="L58" i="42" l="1"/>
  <c r="P19" i="42"/>
  <c r="Q20" i="42"/>
  <c r="Q19" i="42" s="1"/>
  <c r="Q5" i="42"/>
  <c r="Q4" i="42" s="1"/>
  <c r="P4" i="42"/>
  <c r="Q58" i="42" l="1"/>
  <c r="R58" i="42" s="1"/>
  <c r="G61" i="42" l="1"/>
  <c r="E5" i="38" l="1"/>
  <c r="C15" i="38"/>
  <c r="E14" i="38"/>
  <c r="F14" i="38" s="1"/>
  <c r="C10" i="38"/>
  <c r="E9" i="38"/>
  <c r="F9" i="38" s="1"/>
  <c r="E8" i="38"/>
  <c r="F8" i="38" s="1"/>
  <c r="E7" i="38"/>
  <c r="E10" i="38" l="1"/>
  <c r="E15" i="38"/>
  <c r="F15" i="38"/>
  <c r="F7" i="38"/>
  <c r="F10" i="38" s="1"/>
  <c r="F5" i="38"/>
  <c r="G62" i="42" l="1"/>
  <c r="G64" i="42" s="1"/>
  <c r="E75" i="36" l="1"/>
  <c r="N64" i="36"/>
  <c r="N30" i="36"/>
  <c r="N17" i="36"/>
  <c r="I61" i="36"/>
  <c r="K61" i="36" s="1"/>
  <c r="I60" i="36"/>
  <c r="K60" i="36" s="1"/>
  <c r="I62" i="36"/>
  <c r="K62" i="36" s="1"/>
  <c r="E59" i="36"/>
  <c r="I59" i="36" s="1"/>
  <c r="K59" i="36" s="1"/>
  <c r="I63" i="36"/>
  <c r="K63" i="36" s="1"/>
  <c r="E58" i="36"/>
  <c r="I58" i="36" s="1"/>
  <c r="K58" i="36" s="1"/>
  <c r="L58" i="36" s="1"/>
  <c r="F17" i="36"/>
  <c r="G64" i="36"/>
  <c r="H64" i="36"/>
  <c r="J64" i="36"/>
  <c r="E36" i="36"/>
  <c r="I36" i="36" s="1"/>
  <c r="K36" i="36" s="1"/>
  <c r="L36" i="36" s="1"/>
  <c r="E37" i="36"/>
  <c r="I37" i="36" s="1"/>
  <c r="K37" i="36" s="1"/>
  <c r="L37" i="36" s="1"/>
  <c r="E38" i="36"/>
  <c r="I38" i="36" s="1"/>
  <c r="K38" i="36" s="1"/>
  <c r="L38" i="36" s="1"/>
  <c r="E39" i="36"/>
  <c r="I39" i="36" s="1"/>
  <c r="K39" i="36" s="1"/>
  <c r="L39" i="36" s="1"/>
  <c r="E40" i="36"/>
  <c r="I40" i="36" s="1"/>
  <c r="K40" i="36" s="1"/>
  <c r="L40" i="36" s="1"/>
  <c r="E41" i="36"/>
  <c r="I41" i="36" s="1"/>
  <c r="K41" i="36" s="1"/>
  <c r="L41" i="36" s="1"/>
  <c r="E42" i="36"/>
  <c r="I42" i="36" s="1"/>
  <c r="K42" i="36" s="1"/>
  <c r="L42" i="36" s="1"/>
  <c r="E43" i="36"/>
  <c r="I43" i="36" s="1"/>
  <c r="K43" i="36" s="1"/>
  <c r="L43" i="36" s="1"/>
  <c r="E44" i="36"/>
  <c r="I44" i="36" s="1"/>
  <c r="K44" i="36" s="1"/>
  <c r="L44" i="36" s="1"/>
  <c r="E45" i="36"/>
  <c r="I45" i="36" s="1"/>
  <c r="K45" i="36" s="1"/>
  <c r="L45" i="36" s="1"/>
  <c r="E46" i="36"/>
  <c r="I46" i="36" s="1"/>
  <c r="K46" i="36" s="1"/>
  <c r="L46" i="36" s="1"/>
  <c r="E47" i="36"/>
  <c r="I47" i="36" s="1"/>
  <c r="K47" i="36" s="1"/>
  <c r="L47" i="36" s="1"/>
  <c r="E48" i="36"/>
  <c r="I48" i="36" s="1"/>
  <c r="K48" i="36" s="1"/>
  <c r="L48" i="36" s="1"/>
  <c r="E49" i="36"/>
  <c r="I49" i="36" s="1"/>
  <c r="K49" i="36" s="1"/>
  <c r="L49" i="36" s="1"/>
  <c r="E50" i="36"/>
  <c r="I50" i="36" s="1"/>
  <c r="K50" i="36" s="1"/>
  <c r="L50" i="36" s="1"/>
  <c r="E51" i="36"/>
  <c r="I51" i="36" s="1"/>
  <c r="K51" i="36" s="1"/>
  <c r="L51" i="36" s="1"/>
  <c r="E52" i="36"/>
  <c r="I52" i="36" s="1"/>
  <c r="K52" i="36" s="1"/>
  <c r="L52" i="36" s="1"/>
  <c r="E53" i="36"/>
  <c r="I53" i="36" s="1"/>
  <c r="K53" i="36" s="1"/>
  <c r="L53" i="36" s="1"/>
  <c r="E54" i="36"/>
  <c r="I54" i="36" s="1"/>
  <c r="K54" i="36" s="1"/>
  <c r="L54" i="36" s="1"/>
  <c r="E55" i="36"/>
  <c r="I55" i="36" s="1"/>
  <c r="K55" i="36" s="1"/>
  <c r="L55" i="36" s="1"/>
  <c r="E56" i="36"/>
  <c r="I56" i="36" s="1"/>
  <c r="K56" i="36" s="1"/>
  <c r="L56" i="36" s="1"/>
  <c r="E57" i="36"/>
  <c r="I57" i="36" s="1"/>
  <c r="K57" i="36" s="1"/>
  <c r="L57" i="36" s="1"/>
  <c r="E35" i="36"/>
  <c r="I35" i="36" s="1"/>
  <c r="K35" i="36" s="1"/>
  <c r="L35" i="36" s="1"/>
  <c r="F30" i="36"/>
  <c r="G30" i="36"/>
  <c r="H30" i="36"/>
  <c r="J30" i="36"/>
  <c r="E23" i="36"/>
  <c r="I23" i="36" s="1"/>
  <c r="K23" i="36" s="1"/>
  <c r="L23" i="36" s="1"/>
  <c r="E24" i="36"/>
  <c r="I24" i="36" s="1"/>
  <c r="K24" i="36" s="1"/>
  <c r="L24" i="36" s="1"/>
  <c r="E25" i="36"/>
  <c r="I25" i="36" s="1"/>
  <c r="K25" i="36" s="1"/>
  <c r="L25" i="36" s="1"/>
  <c r="E26" i="36"/>
  <c r="I26" i="36" s="1"/>
  <c r="K26" i="36" s="1"/>
  <c r="L26" i="36" s="1"/>
  <c r="E27" i="36"/>
  <c r="I27" i="36" s="1"/>
  <c r="K27" i="36" s="1"/>
  <c r="L27" i="36" s="1"/>
  <c r="E22" i="36"/>
  <c r="I22" i="36" s="1"/>
  <c r="K22" i="36" s="1"/>
  <c r="L22" i="36" s="1"/>
  <c r="E28" i="36"/>
  <c r="I28" i="36" s="1"/>
  <c r="K28" i="36" s="1"/>
  <c r="L28" i="36" s="1"/>
  <c r="E29" i="36"/>
  <c r="I29" i="36" s="1"/>
  <c r="K29" i="36" s="1"/>
  <c r="L29" i="36" s="1"/>
  <c r="E21" i="36"/>
  <c r="I21" i="36" s="1"/>
  <c r="K21" i="36" s="1"/>
  <c r="G17" i="36"/>
  <c r="H17" i="36"/>
  <c r="J17" i="36"/>
  <c r="E5" i="36"/>
  <c r="I5" i="36" s="1"/>
  <c r="K5" i="36" s="1"/>
  <c r="L5" i="36" s="1"/>
  <c r="E6" i="36"/>
  <c r="I6" i="36" s="1"/>
  <c r="K6" i="36" s="1"/>
  <c r="L6" i="36" s="1"/>
  <c r="E7" i="36"/>
  <c r="I7" i="36" s="1"/>
  <c r="K7" i="36" s="1"/>
  <c r="L7" i="36" s="1"/>
  <c r="E8" i="36"/>
  <c r="I8" i="36" s="1"/>
  <c r="K8" i="36" s="1"/>
  <c r="L8" i="36" s="1"/>
  <c r="E9" i="36"/>
  <c r="I9" i="36" s="1"/>
  <c r="K9" i="36" s="1"/>
  <c r="L9" i="36" s="1"/>
  <c r="E10" i="36"/>
  <c r="I10" i="36" s="1"/>
  <c r="K10" i="36" s="1"/>
  <c r="L10" i="36" s="1"/>
  <c r="E11" i="36"/>
  <c r="I11" i="36" s="1"/>
  <c r="K11" i="36" s="1"/>
  <c r="L11" i="36" s="1"/>
  <c r="E12" i="36"/>
  <c r="I12" i="36" s="1"/>
  <c r="K12" i="36" s="1"/>
  <c r="L12" i="36" s="1"/>
  <c r="E14" i="36"/>
  <c r="I14" i="36" s="1"/>
  <c r="K14" i="36" s="1"/>
  <c r="L14" i="36" s="1"/>
  <c r="E15" i="36"/>
  <c r="I15" i="36" s="1"/>
  <c r="K15" i="36" s="1"/>
  <c r="L15" i="36" s="1"/>
  <c r="E16" i="36"/>
  <c r="I16" i="36" s="1"/>
  <c r="K16" i="36" s="1"/>
  <c r="L16" i="36" s="1"/>
  <c r="E4" i="36"/>
  <c r="I4" i="36" s="1"/>
  <c r="K4" i="36" s="1"/>
  <c r="F64" i="36"/>
  <c r="N65" i="36" l="1"/>
  <c r="J72" i="36"/>
  <c r="E30" i="36"/>
  <c r="L61" i="36"/>
  <c r="L60" i="36"/>
  <c r="L62" i="36"/>
  <c r="L59" i="36"/>
  <c r="L63" i="36"/>
  <c r="E13" i="36"/>
  <c r="I13" i="36" s="1"/>
  <c r="K13" i="36" s="1"/>
  <c r="L13" i="36" s="1"/>
  <c r="E64" i="36"/>
  <c r="G72" i="36" s="1"/>
  <c r="I64" i="36"/>
  <c r="K64" i="36"/>
  <c r="K30" i="36"/>
  <c r="I30" i="36"/>
  <c r="L21" i="36"/>
  <c r="L30" i="36" s="1"/>
  <c r="L4" i="36"/>
  <c r="L64" i="36" l="1"/>
  <c r="L17" i="36"/>
  <c r="E17" i="36"/>
  <c r="E72" i="36" s="1"/>
  <c r="E73" i="36" s="1"/>
  <c r="E76" i="36" s="1"/>
  <c r="K17" i="36"/>
  <c r="I17" i="36"/>
  <c r="AC25" i="36" l="1"/>
  <c r="AC21" i="36"/>
  <c r="AC22" i="36"/>
  <c r="AC27" i="36"/>
  <c r="AC15" i="36"/>
  <c r="AC14" i="36"/>
  <c r="AC13" i="36"/>
  <c r="AC12" i="36"/>
  <c r="AC11" i="36"/>
  <c r="AC10" i="36"/>
  <c r="AC9" i="36"/>
  <c r="AC8" i="36"/>
  <c r="AC7" i="36"/>
  <c r="AC6" i="36"/>
  <c r="AC5" i="36"/>
  <c r="AC4" i="36"/>
  <c r="L62" i="42" l="1"/>
  <c r="Q62" i="42" l="1"/>
  <c r="R62" i="42" s="1"/>
  <c r="L61" i="42" l="1"/>
  <c r="Q61" i="42" l="1"/>
  <c r="Q64" i="42" s="1"/>
  <c r="L64" i="42"/>
  <c r="R61" i="42" l="1"/>
  <c r="R64" i="42"/>
  <c r="H4" i="29" l="1"/>
  <c r="D17" i="29" l="1"/>
  <c r="D19" i="29" s="1"/>
  <c r="C15" i="29"/>
  <c r="H7" i="29"/>
  <c r="Q12" i="29"/>
  <c r="P12" i="29"/>
  <c r="D4" i="29" l="1"/>
  <c r="E4" i="29" s="1"/>
  <c r="D12" i="29" l="1"/>
  <c r="E12" i="29" s="1"/>
  <c r="D7" i="29"/>
  <c r="E7" i="29" s="1"/>
  <c r="D10" i="29"/>
  <c r="E10" i="29" l="1"/>
  <c r="D5" i="29" l="1"/>
  <c r="D6" i="29" l="1"/>
  <c r="E6" i="29" s="1"/>
  <c r="E5" i="29"/>
  <c r="D9" i="29"/>
  <c r="E9" i="29" s="1"/>
  <c r="D13" i="29" l="1"/>
  <c r="E13" i="29" s="1"/>
  <c r="D11" i="29"/>
  <c r="E11" i="29" s="1"/>
  <c r="D14" i="29"/>
  <c r="E14" i="29" s="1"/>
  <c r="D8" i="29" l="1"/>
  <c r="E8" i="29" l="1"/>
  <c r="E15" i="29" s="1"/>
  <c r="D15" i="29"/>
  <c r="D20" i="29" s="1"/>
</calcChain>
</file>

<file path=xl/sharedStrings.xml><?xml version="1.0" encoding="utf-8"?>
<sst xmlns="http://schemas.openxmlformats.org/spreadsheetml/2006/main" count="1246" uniqueCount="507">
  <si>
    <t>#</t>
  </si>
  <si>
    <t>თანამდებობის დასახელება</t>
  </si>
  <si>
    <t>საშტატო ერთეული</t>
  </si>
  <si>
    <t>მნე</t>
  </si>
  <si>
    <t>მეთოდისტი</t>
  </si>
  <si>
    <t>ბუღალტერი</t>
  </si>
  <si>
    <t>იურისტი</t>
  </si>
  <si>
    <t>ხელმძღვანელი</t>
  </si>
  <si>
    <t>მუსიკის მასწავლებელი</t>
  </si>
  <si>
    <t>მზარეული</t>
  </si>
  <si>
    <t>დარაჯი</t>
  </si>
  <si>
    <t>დამლაგებელი</t>
  </si>
  <si>
    <t>X</t>
  </si>
  <si>
    <t>მძღოლი</t>
  </si>
  <si>
    <t>სპეციალისტი</t>
  </si>
  <si>
    <t>დირექტორის მოადგილე</t>
  </si>
  <si>
    <t>რეჟისორი</t>
  </si>
  <si>
    <t>სპეციალისტი კადრების დარგში</t>
  </si>
  <si>
    <t>სპეციალისტი საორგანიზაციო საკითხებში</t>
  </si>
  <si>
    <t>ლოტბარი</t>
  </si>
  <si>
    <t>ქორეოგრაფი</t>
  </si>
  <si>
    <t>აკომპანიატორი</t>
  </si>
  <si>
    <t>ტექნიკური პერსონალი - მეგარდერობე</t>
  </si>
  <si>
    <t>სოლისტი</t>
  </si>
  <si>
    <t>მომღერალი</t>
  </si>
  <si>
    <t>მოცეკვავე</t>
  </si>
  <si>
    <t>დირექტორი</t>
  </si>
  <si>
    <t>ზეინკალი</t>
  </si>
  <si>
    <t>სალოტბარო განყოფილების უფროსი</t>
  </si>
  <si>
    <t>N</t>
  </si>
  <si>
    <t>მუნიციპალიტეტის საკრებულო</t>
  </si>
  <si>
    <t>მუნიციპალიტეტის მერია</t>
  </si>
  <si>
    <t>წლის ფონდი</t>
  </si>
  <si>
    <t>თვის ფონდი</t>
  </si>
  <si>
    <t>განაკვეთი</t>
  </si>
  <si>
    <t>ადმინისტრაცია</t>
  </si>
  <si>
    <t>დამხმარე პერსონალი</t>
  </si>
  <si>
    <t>მრეცხავი</t>
  </si>
  <si>
    <t>შენიშვნა</t>
  </si>
  <si>
    <t>ა(ა)იპ ქობულეთის გამწვანება</t>
  </si>
  <si>
    <t>ა(ა)იპ  "ქობულეთის სოფლის წყალი "</t>
  </si>
  <si>
    <t>ა(ა)იპ ქობულეთის სანდასუფთავება</t>
  </si>
  <si>
    <t>ა(ა)იპ ქობულეთის მუნიციპალიტეტის საბავშვო ბაღების გაერთიანება</t>
  </si>
  <si>
    <t>ა(ა)იპ ქობულეთის კულტურის ცენტრი</t>
  </si>
  <si>
    <t>ა(ა)იპ ქობულეთის კომპლექსური სასპორტო სკოლა</t>
  </si>
  <si>
    <t>ა(ა)იპ სკოლისგარეშე სახელოვნებო საგანმანათლებლო დაწესებულება "ქობულეთის სახელოვნებო სკოლა"</t>
  </si>
  <si>
    <t>ა(ა)იპ ქობულეთის მუზეუმი</t>
  </si>
  <si>
    <t>გურამ თამაზაშვილის სახელობის  (ა)იპ ქობულეთის სიმღერისა და ცეკვის ანსამბლი "მხედრული"'</t>
  </si>
  <si>
    <t>ა(ა)იპ ქობულეთის პარკი</t>
  </si>
  <si>
    <t>ა(ა)იპ "ქობულეთის ჯანდაცვისა და სოციალური სერვისების ცენტრი</t>
  </si>
  <si>
    <t xml:space="preserve">  დასახელება</t>
  </si>
  <si>
    <t>საქმის მწარმოებელი</t>
  </si>
  <si>
    <t>ელექტრიკოსი</t>
  </si>
  <si>
    <t>სულ ჯამი</t>
  </si>
  <si>
    <t>მათ შორის</t>
  </si>
  <si>
    <t>სხვადასხვა ხარჯები</t>
  </si>
  <si>
    <t>შრომის ანაზრაურება</t>
  </si>
  <si>
    <t>25 500 საპრემიო ფონდი</t>
  </si>
  <si>
    <t xml:space="preserve">2020 წლის გეგმა </t>
  </si>
  <si>
    <t>ნაერთი</t>
  </si>
  <si>
    <t>№</t>
  </si>
  <si>
    <t>დ ა ს ა ხ ე ლ ე ბ ა</t>
  </si>
  <si>
    <t>საშტატო რიცხოვნება</t>
  </si>
  <si>
    <t>თანამდებობრივი სარგო</t>
  </si>
  <si>
    <t>საკრებულოს ჯამი</t>
  </si>
  <si>
    <t>საკრებულოს თავმჯდომარე</t>
  </si>
  <si>
    <t>საკრებულოს თავმჯდომარის მოადგილე</t>
  </si>
  <si>
    <t>საკრებულოს კომისიის თავმჯდომარე</t>
  </si>
  <si>
    <t>საკრებულოს ფრაქციის თავმჯდომარე</t>
  </si>
  <si>
    <t>საკრებულოს ფრაქციის თავმჯდომარის მოადგილე</t>
  </si>
  <si>
    <t>თანამდებობა</t>
  </si>
  <si>
    <t>ხელმძღვანელობა</t>
  </si>
  <si>
    <t>მერი</t>
  </si>
  <si>
    <t>მერის პირველი მოადგილე</t>
  </si>
  <si>
    <t>მერის მოადგილე</t>
  </si>
  <si>
    <t xml:space="preserve"> ქობულეთის მუნიციპალიტეტის  ადმინისტრაციული ერთეულები</t>
  </si>
  <si>
    <t>ქალაქ ქობულეთის ადმინისტრაციული ერთეული</t>
  </si>
  <si>
    <t>დაბა ჩაქვის ადმინისტრაციული ერთეული</t>
  </si>
  <si>
    <t>დაბა ოჩხამურის ადმინისტრაციული ერთეული</t>
  </si>
  <si>
    <t>ალამბრის ადმინისრაციული ერთეული</t>
  </si>
  <si>
    <t>აჭყვისთავის ადმინისტრაციული ერთეული</t>
  </si>
  <si>
    <t>ბობოყვათის ადმინისტრაციული ერთეული</t>
  </si>
  <si>
    <t>გვარას  ადმინისტრაციული ერთეული</t>
  </si>
  <si>
    <t>დაგვას  ადმინისტრაციული ერთეული</t>
  </si>
  <si>
    <t>ზენითის  ადმინისტრაციული ერთეული</t>
  </si>
  <si>
    <t>კვირიკეს  ადმინისტრაციული ერთეული</t>
  </si>
  <si>
    <t>ლეღვას  ადმინისტრაციული ერთეული</t>
  </si>
  <si>
    <t>მუხაესტატეს  ადმინისტრაციული ერთეული</t>
  </si>
  <si>
    <t>წყავროკას ადმინისტრაციული ერთეული</t>
  </si>
  <si>
    <t>საჩინოს   ადმინისტრაციული ერთეული</t>
  </si>
  <si>
    <t>ქაქუთის ადმინისტრაციული ერთეული</t>
  </si>
  <si>
    <t>სოფელ ქობულეთის ადმინისტრაციული ერთეული</t>
  </si>
  <si>
    <t>ჩაისუბნის ადმინისტრაციული ერთეული</t>
  </si>
  <si>
    <t>ციხისძირის ადმინისტრაციული ერთეული</t>
  </si>
  <si>
    <t>ხალას ადმინისტრაციული ერთეული</t>
  </si>
  <si>
    <t>ჭახათის ადმინისტრაციული ერთეული</t>
  </si>
  <si>
    <t>ხუცუბნის ადმინისტრაციული ერთეული</t>
  </si>
  <si>
    <t>სულ მერიის ჯამი</t>
  </si>
  <si>
    <t>რაოდენობა</t>
  </si>
  <si>
    <t>თანაშემწე</t>
  </si>
  <si>
    <t>ჯამი</t>
  </si>
  <si>
    <t xml:space="preserve">თანაშემწე </t>
  </si>
  <si>
    <t>თანაშემწე შ.შ.მ  საკითხებში</t>
  </si>
  <si>
    <t>მდივან-რეფერანტი</t>
  </si>
  <si>
    <t>კომპიუტერული ტექნიკის მომსახურეობის საკითხებში</t>
  </si>
  <si>
    <t>ტექნიკური პერსონალი</t>
  </si>
  <si>
    <t xml:space="preserve">მთავარი სპეციალისტი </t>
  </si>
  <si>
    <t xml:space="preserve"> დასახელება</t>
  </si>
  <si>
    <t>ბაღების გაერთიანების ადმინასტრაცია</t>
  </si>
  <si>
    <t xml:space="preserve">დირექტორი                                            </t>
  </si>
  <si>
    <t>მთ.ბუღალტერი</t>
  </si>
  <si>
    <t>ლოგოპედი</t>
  </si>
  <si>
    <t>მიმდინარე შეკეთების მუშა</t>
  </si>
  <si>
    <t xml:space="preserve">აღსაზრდელთა რაოდენობა       </t>
  </si>
  <si>
    <t xml:space="preserve">აღსაზრდელთა რაოდენობა      </t>
  </si>
  <si>
    <t xml:space="preserve">აღსაზრდელთა რაოდენობა   </t>
  </si>
  <si>
    <t xml:space="preserve">აღსაზრდელთა რაოდენობა    </t>
  </si>
  <si>
    <t xml:space="preserve">აღსაზრდელთა რაოდენობა     </t>
  </si>
  <si>
    <t>საჩინოს საბავშვო ბაღი</t>
  </si>
  <si>
    <t>აღსაზრდელთა რაოდენობა</t>
  </si>
  <si>
    <t>აღმზრდელი მასწავლებელი</t>
  </si>
  <si>
    <t>აღმზრდელის თანაშემწე (ძიძა)</t>
  </si>
  <si>
    <t>მნე (საწყობის გამგე)</t>
  </si>
  <si>
    <t>მედდა (ექთანი)</t>
  </si>
  <si>
    <t>ა(ა)იპ ქობულეთის მუნიციპალიტეტის საბავშვო ბაღების გაერთიანება შტადგარეშე მომუშავეთა</t>
  </si>
  <si>
    <t>ცეცხლფარეში</t>
  </si>
  <si>
    <t>შტატი</t>
  </si>
  <si>
    <t>ერთი თვის ფონდი</t>
  </si>
  <si>
    <t>წლიური ფონდი</t>
  </si>
  <si>
    <t>ტურ - ოპერატორი</t>
  </si>
  <si>
    <t>მთ.სპეც. სტრუქტურულ ერთეულებთან მუშაობის დარგში</t>
  </si>
  <si>
    <t>მთ.სპეციალისტი ფოლკლორის დარგში</t>
  </si>
  <si>
    <t>მთ.სპეციალისტი იურიდიულ საკითხებში</t>
  </si>
  <si>
    <t>გახმოვანების  აპარატურის ოპერატორი</t>
  </si>
  <si>
    <t>დამხმარე მუშა</t>
  </si>
  <si>
    <t>ელექტრო მონტიორი</t>
  </si>
  <si>
    <t>გამნათებელი</t>
  </si>
  <si>
    <t>II</t>
  </si>
  <si>
    <t>საბიბლიოთეკო განყოფილება</t>
  </si>
  <si>
    <t>განყოფილების გამგე</t>
  </si>
  <si>
    <t>III</t>
  </si>
  <si>
    <t>კულტურის სახლები და კლუბები</t>
  </si>
  <si>
    <t>დაგვას კულტურის სახლის ხელ-ლი</t>
  </si>
  <si>
    <t>დაგვას კულტურის სახლის  ვოკალური ჯგუფის ხელ-ლი</t>
  </si>
  <si>
    <t>ხუცუბნის კულტურის სახლის ხელ-ლი</t>
  </si>
  <si>
    <t>ხუცუბნის კულტურის სახლის სპეციალისტი</t>
  </si>
  <si>
    <t>მუხაესტატეს კულტურის სახლის ხელ-ლი</t>
  </si>
  <si>
    <t>ქაქუთის კულტურის სახლის ხელ-ლი</t>
  </si>
  <si>
    <t>ქაქუთის კულტურის სახლის ქორეოგრაფი</t>
  </si>
  <si>
    <t>ქაქუთის კულტურის სახლის აკომპანიატორი</t>
  </si>
  <si>
    <t>ქაქუთის კულტურის სახლის ლოტბარი</t>
  </si>
  <si>
    <t>ქაქუთის ვოკალური ჯგუფის ხელ-ლი</t>
  </si>
  <si>
    <t>ციხისძირის კულტურის სახლის ხელ-ლი</t>
  </si>
  <si>
    <t>ციხისძირის კულტურის სახლის  ვოკალური ჯგუფის ხელ-ლი</t>
  </si>
  <si>
    <t>ხალას კულტურის სახლის ხელ-ლი</t>
  </si>
  <si>
    <t>ხალას კულტურის სახლის ქორეოგრაფი</t>
  </si>
  <si>
    <t>ხალას კულტურის სახლის ლოტბარი</t>
  </si>
  <si>
    <t>ბობოყვათის კულტურის სახლის ხელ-ლი</t>
  </si>
  <si>
    <t>ცეცხლაურის კულტურის სახლის ხელ-ლი</t>
  </si>
  <si>
    <t>აჭის სასოფლო კლუბის ხელ-ლი</t>
  </si>
  <si>
    <t>ლეღვას სასოფლო კლუბის ხელ-ლი</t>
  </si>
  <si>
    <t>ჭახათის სასოფლო კლუბის ხელ-ლი</t>
  </si>
  <si>
    <t>გვარას სასოფლო კლუბის ხელ-ლი</t>
  </si>
  <si>
    <t>საჩინოს სასოფლო კლუბის ხელ-ლი</t>
  </si>
  <si>
    <t>ზ/აჭყვას სასოფლო კლუბის ხელ-ლი</t>
  </si>
  <si>
    <t>ზ/აჭყვას სასოფლო კლუბის ქორეოგრაფი</t>
  </si>
  <si>
    <t>ალამბრის სასოფლო კლუბის ხელ-ლი</t>
  </si>
  <si>
    <t>ალამბრის სასოფლო კლუბის ლოტბარი</t>
  </si>
  <si>
    <t>აჭყვისთავის სასოფლო კლუბის ხელ-ლი</t>
  </si>
  <si>
    <t>ჩოლოქის კლუბის ხელ-ლი</t>
  </si>
  <si>
    <t>სოფ.ქობულეთის სასოფლო კლუბის ხელ-ლი</t>
  </si>
  <si>
    <t>სოფ.ქობულეთის სასოფლო კლუბის ქორეოგრაფი</t>
  </si>
  <si>
    <t>სოფ.ქობულეთის სასოფლო კლუბის სპეციალისტი</t>
  </si>
  <si>
    <t>ჩაისუბნის სასოფლო კლუბის ხელ-ლი</t>
  </si>
  <si>
    <t>ჩაისუბნის სასოფლო კლუბის ქორეოგრაფი</t>
  </si>
  <si>
    <t>ქობულეთის კულტურის სახლის ხელ - ი</t>
  </si>
  <si>
    <t>IV</t>
  </si>
  <si>
    <t>მოსწავლე-ახალგაზრდობასთან მუშაობის განყოფილება</t>
  </si>
  <si>
    <t>განყოფილების უფროსი</t>
  </si>
  <si>
    <t>სპეციალისტი ეკო-ტურიზმის დარგში</t>
  </si>
  <si>
    <t>ბავშვთა ქორეოგრაფიულ ანსამბლ”საუნჯე’ს ხელ-ლი</t>
  </si>
  <si>
    <t>ბავშვთა ქორეოგრაფიულ ანსამბლ”საუნჯე’ს ქორეოგრაფი</t>
  </si>
  <si>
    <t>ანსამბლის კონსულტანტი</t>
  </si>
  <si>
    <t>V</t>
  </si>
  <si>
    <t>შემოქმედებითი კოლექტივები</t>
  </si>
  <si>
    <t>სიმღერისა და ცეკვის სახალხო ანსამბლი "ქობულეთი"</t>
  </si>
  <si>
    <t>სამხატვრო ხელ-ლი</t>
  </si>
  <si>
    <t>ანსამბლის წევრი (მოცეკვავე)</t>
  </si>
  <si>
    <t>ანსამბლის წევრი (მომღერალი)</t>
  </si>
  <si>
    <t>VI</t>
  </si>
  <si>
    <t>სალოტბარო განყოფილება</t>
  </si>
  <si>
    <t>ვოკალური ჯგუფი "ახალი ხმები"</t>
  </si>
  <si>
    <t>ფოტო-რეპორტიორი</t>
  </si>
  <si>
    <t>საკრებულოს თავმჯდომარის პირველი  მოადგილე</t>
  </si>
  <si>
    <t>ხალას კულტურის სახლის  აკომპანიატორი</t>
  </si>
  <si>
    <t>თანაშემწე კოორდინატორი</t>
  </si>
  <si>
    <t>მატერიალურ ტექნიკური უზრუნველყოფის საკითხებში</t>
  </si>
  <si>
    <t>თვის ფონდი  არსებული</t>
  </si>
  <si>
    <t>ა(ა)აპ ქობულეთის კულტურის ცენტრის შტადგარეშე მომუშავეთა</t>
  </si>
  <si>
    <t>არამატერიალური კულტურული მემკვიდრეობის სპეციალისტი</t>
  </si>
  <si>
    <t xml:space="preserve">                            ა(ა)აპ ქობულეთის კულტურის ცენტრის   საშტატო განრიგი</t>
  </si>
  <si>
    <t xml:space="preserve">  თანამდებობა</t>
  </si>
  <si>
    <t>დეკლამატორი</t>
  </si>
  <si>
    <t>მთავარი მწვრთნელი</t>
  </si>
  <si>
    <t xml:space="preserve"> მწვრთნელი</t>
  </si>
  <si>
    <t>ექიმი</t>
  </si>
  <si>
    <t>მინდვრის მომვლელი</t>
  </si>
  <si>
    <t>საწარმოს საწყობის უფროსი</t>
  </si>
  <si>
    <t>ექსპლუატაციის უფროსი</t>
  </si>
  <si>
    <t>შესყიდვების მენეჯერი</t>
  </si>
  <si>
    <t>ელექტრონული მარშუტების ოპერატორი</t>
  </si>
  <si>
    <t>ელექტრონული გადახდების ოპერატორი</t>
  </si>
  <si>
    <t>კონტროლის ჯგუფის ხელმძღვანელი</t>
  </si>
  <si>
    <t>კონტროლის ჯგუფის სპეციალისტი</t>
  </si>
  <si>
    <t>საბურავების შემკეთებელი</t>
  </si>
  <si>
    <t>ძრავის შემკეთებელი</t>
  </si>
  <si>
    <t>მწვრთნელი</t>
  </si>
  <si>
    <t xml:space="preserve"> ჯამი</t>
  </si>
  <si>
    <t>მძღოლები</t>
  </si>
  <si>
    <t>ანსამბლ "საუნჯე"-ს აკომპანიატორი</t>
  </si>
  <si>
    <t>შავიშვილი ჯუმბერი</t>
  </si>
  <si>
    <t>ვერულიძე  სულიკო</t>
  </si>
  <si>
    <t>მგელაძე სულიკო</t>
  </si>
  <si>
    <t>ქარცივაძე  ნოდარი</t>
  </si>
  <si>
    <t>გოგიბერიძე  მაია</t>
  </si>
  <si>
    <t>რომანაძე ციცო</t>
  </si>
  <si>
    <t>პაპუნაიშვილი ნუგზარი</t>
  </si>
  <si>
    <t>ოქროპირიძე ილია</t>
  </si>
  <si>
    <t>თხილაიშვილი ზურაბი</t>
  </si>
  <si>
    <t>ხარაზი ზურაბი</t>
  </si>
  <si>
    <t>სიხარულიძე ავთო</t>
  </si>
  <si>
    <t>ანანიძე ვიტალი</t>
  </si>
  <si>
    <t>პაპუნაიშვილი მერაბ</t>
  </si>
  <si>
    <t>ქათამაძე თემური</t>
  </si>
  <si>
    <t>აბაშიძე ზურაბ</t>
  </si>
  <si>
    <t>დევნოსაძე თენგიზ</t>
  </si>
  <si>
    <t>ბაკურიძე ოთარ</t>
  </si>
  <si>
    <t>არჩვაძე გიორგი</t>
  </si>
  <si>
    <t>ადმინისტრაციის ჯამი</t>
  </si>
  <si>
    <t>არჯევნიშვილი ზურაბ</t>
  </si>
  <si>
    <t>პაპუნაიშვილი რევაზი</t>
  </si>
  <si>
    <t>მოწყობილი ავთანდილ</t>
  </si>
  <si>
    <t>ჩელებაძე მალხაზი</t>
  </si>
  <si>
    <t>ბეჟანიძე ამირან</t>
  </si>
  <si>
    <t>ნაკაშიძე  ზორბეგ</t>
  </si>
  <si>
    <t>ვერულიძე  ჯემალ</t>
  </si>
  <si>
    <t>ქათამაძე როინ</t>
  </si>
  <si>
    <t>ცეცხლაძე თამაზ</t>
  </si>
  <si>
    <t>ათაბაძე ნოდარ</t>
  </si>
  <si>
    <t>ჩელებაძე გურამ</t>
  </si>
  <si>
    <t>ლაზიშვილი ოლეგი</t>
  </si>
  <si>
    <t>ოქროპირიძე დავით</t>
  </si>
  <si>
    <t>ცეცხლაძე გია</t>
  </si>
  <si>
    <t>ართმელაძე ილარიონ</t>
  </si>
  <si>
    <t>სტამბოლიშვილი მერაბ</t>
  </si>
  <si>
    <t>ხახუტაიშვილი ნუკრი</t>
  </si>
  <si>
    <t>მახარაძე ევგენი</t>
  </si>
  <si>
    <t>ლილაძე რამაზი</t>
  </si>
  <si>
    <t>შავიშვილი ავთანდილი</t>
  </si>
  <si>
    <t>ზოიძე ჯემალი</t>
  </si>
  <si>
    <t>მგელაძე დურმიშხან</t>
  </si>
  <si>
    <t>სახელი, გვარი</t>
  </si>
  <si>
    <t>სულ დარიცხული ხელფასი</t>
  </si>
  <si>
    <t>ხელფასი</t>
  </si>
  <si>
    <t>შვებულება</t>
  </si>
  <si>
    <t>დაკავება</t>
  </si>
  <si>
    <t>სულ დაკავებული</t>
  </si>
  <si>
    <t>ხელზე გასაცემი</t>
  </si>
  <si>
    <t>დაგ. პენსია 2%</t>
  </si>
  <si>
    <t>საშემოსავლო გადასახადი (20%)</t>
  </si>
  <si>
    <t>ავანსი</t>
  </si>
  <si>
    <t>x</t>
  </si>
  <si>
    <t>ჯამი მძღოლების ხელფასის</t>
  </si>
  <si>
    <t>შპს ქობულეთის ტრანსრეგულირების დირექტორი                             მ. პაპუნაიშვილი</t>
  </si>
  <si>
    <t xml:space="preserve">                                             ბუღალტერი                                    ს. მგელაძე</t>
  </si>
  <si>
    <t>N#</t>
  </si>
  <si>
    <t>ვაკანსია</t>
  </si>
  <si>
    <t>ბერიძე ზურაბი</t>
  </si>
  <si>
    <t>2023 წლის ივნისის თვის  შპს ქობულეთის ტრანსრეგულირების  მძღოლების ხელფასი უწყისი</t>
  </si>
  <si>
    <t>მოწყობილი გოჩა</t>
  </si>
  <si>
    <t>გოგიტიძე ვაჯა</t>
  </si>
  <si>
    <t>2023 წლის ივნისის თვის  შპს ქობულეთის ტრანსრეგულირების  ადმინისტრაციის ხელფასის უწყისი</t>
  </si>
  <si>
    <t>2023 წლის ივნისის თვის  შპს ქობულეთის ტრანსრეგულირების  დამხმარე პერსონალის ხელფასის უწყისი</t>
  </si>
  <si>
    <t>ცეცხლაძე არჩილ</t>
  </si>
  <si>
    <t>ცეცხლაძე თამაზი</t>
  </si>
  <si>
    <t>2024 წელი</t>
  </si>
  <si>
    <t>ცეცხლაურის ადმინისტრაციული ერთეული</t>
  </si>
  <si>
    <t>ჯიხანჯურის ადმინისტრაციული ერთეული</t>
  </si>
  <si>
    <t>ქ. ქობულეთში N1 საბავშვო ბაღი</t>
  </si>
  <si>
    <t>დამატებითი აღმზრდელ-მასწავლებელი</t>
  </si>
  <si>
    <t>ქ. ქობულეთში N2 საბავშვო ბაღი</t>
  </si>
  <si>
    <t>ქ. ქობულეთში N3 საბავშვო ბაღი</t>
  </si>
  <si>
    <t>ქ. ქობულეთში N4 საბავშვო ბაღი</t>
  </si>
  <si>
    <t>ქ. ქობულეთში N5 საბავშვო ბაღი</t>
  </si>
  <si>
    <t>ქ. ქობულეთში N6 საბავშვო ბაღი</t>
  </si>
  <si>
    <t>ქ. ქობულეთში N7 საბავშვო ბაღი</t>
  </si>
  <si>
    <t>დ. ჩაქვის N1 საბავშვო ბაღი</t>
  </si>
  <si>
    <t>დ. ოჩხამურის  საბავშვო ბაღი</t>
  </si>
  <si>
    <t>სოფელ  ჩაისუბნის საბავშვო ბაღი</t>
  </si>
  <si>
    <t>ხალას თემის საბავშვო ბაღი</t>
  </si>
  <si>
    <t>სოფელ ბობოყვათის საბავშვო ბაღი</t>
  </si>
  <si>
    <t>ციხისძირის თემის საბავშვო ბაღი</t>
  </si>
  <si>
    <t xml:space="preserve">სოფელ კვირიკე საბავშვო ბაღი   </t>
  </si>
  <si>
    <t xml:space="preserve">სოფელ ქვედა კვირიკეს საბავშვო ბაღი   </t>
  </si>
  <si>
    <t>სოფელ  ხუცუბნის საბავშვო ბაღი</t>
  </si>
  <si>
    <t>სოფელ  ქობულეთის საბავშვო ბაღი</t>
  </si>
  <si>
    <t>სოფელ ზენითის საბავშვო ბაღი</t>
  </si>
  <si>
    <t>სოფელ აჭყვისთავის საბავშვო ბაღი</t>
  </si>
  <si>
    <t>სოფელ ალამბრის  საბავშვო ბაღი</t>
  </si>
  <si>
    <t>სოფელ გვარას საბავშვო ბაღი</t>
  </si>
  <si>
    <t>სოფელ მუხაესტატეს საბავშვო ბაღი</t>
  </si>
  <si>
    <t xml:space="preserve">სოფელ ლეღვას საბავშვო ბაღი   </t>
  </si>
  <si>
    <t>სოფელ ქაქუთის საბავშვო ბაღი</t>
  </si>
  <si>
    <t>სოფელ ცეცხლაურის საბავშვო ბაღი</t>
  </si>
  <si>
    <t>სოფელ დაგვას საბავშვო ბაღი</t>
  </si>
  <si>
    <t>სოფლ წყავროკას საბავშვო ბაღი</t>
  </si>
  <si>
    <t>დაბა ჩაქვის N2 საბავშვო ბაღი</t>
  </si>
  <si>
    <t>სპეციალისტი მხატვრული კითხვის დარგში</t>
  </si>
  <si>
    <t>გაზრდილი განაკვეთი</t>
  </si>
  <si>
    <t>თეატრალური განყოფილება</t>
  </si>
  <si>
    <t>განყოფილების უფროსი (რეჟისორი)</t>
  </si>
  <si>
    <t>მხატვარ დეკორატორი</t>
  </si>
  <si>
    <t>მუსიკალური მიმართულების ხელმძღვანელი</t>
  </si>
  <si>
    <t>თეატრის მსახიობი</t>
  </si>
  <si>
    <t>წამყ.სპეციალისტი ხალხური სიმღერების დარგში</t>
  </si>
  <si>
    <t>წამყ.სპეციალისტი საესტრადო სიმღერების დარგში</t>
  </si>
  <si>
    <t>წამყ.სპეციალისტი ხალხური საკრავების  დარგში</t>
  </si>
  <si>
    <t>სცენის დიზაინერი</t>
  </si>
  <si>
    <t>მთავარი სპეციალისტი</t>
  </si>
  <si>
    <t>წამყვანი  სპეციალისტი</t>
  </si>
  <si>
    <t>აჭყვისთავის სასოფლო კლუბის სპეციალისტი</t>
  </si>
  <si>
    <t>სპეციალისტი:კულტ.მემკვიდრეობის შესწავლის საქმეში</t>
  </si>
  <si>
    <t>სპეც:ახალგაზრდობის თავისუფალი დროის ორგანიზებაში</t>
  </si>
  <si>
    <t>სპეც:ხალხური რეწვა - თექაზე მუშაობა</t>
  </si>
  <si>
    <t>სპეც:ხალხური რეწვა - ჭედურობა</t>
  </si>
  <si>
    <t>სპეც:ლიტერატურულ-თეატრალური კლუბTან მუშაობის საქმეში</t>
  </si>
  <si>
    <t>სპეც: რიტმული ცეკვების წრის”ახალი რიტმები"</t>
  </si>
  <si>
    <t>დირიჟორი(ქორმაისტერი)</t>
  </si>
  <si>
    <t>სპეც:ხატვის სესწავლის დარგში</t>
  </si>
  <si>
    <t>დამლაგებელი (სამხედროს შენობისათვის)</t>
  </si>
  <si>
    <t xml:space="preserve"> ქობულეთის მუნიციპალიტეტის საკრებულოს 2025 წლის საშტატო ნუსხისა და თანამდებობრივი სარგოს პროექტი</t>
  </si>
  <si>
    <t>2025 წელი</t>
  </si>
  <si>
    <t>შპს სარაგბო კლუბი პონტოს საშტატო 2025 წელი</t>
  </si>
  <si>
    <t>შპს სარაგბო კლუბი პონტოს (ჩაქვის) საშტატო 2025 წელი</t>
  </si>
  <si>
    <t>კომპიუტერის სპეციალისტი (პროგრამისტი)</t>
  </si>
  <si>
    <t>მაყვალა ჯაფარიძე</t>
  </si>
  <si>
    <t>ხიდაშელები</t>
  </si>
  <si>
    <t>გივი ვერულიძის ცოლი</t>
  </si>
  <si>
    <t>ა(ა)აპ ქობულეთის კულტურის ცენტრის შტატგარეშე მომუშავეები</t>
  </si>
  <si>
    <t>სხვაობა</t>
  </si>
  <si>
    <t>2024წელი</t>
  </si>
  <si>
    <t>ხელზე ასაღები</t>
  </si>
  <si>
    <t>2025წელი</t>
  </si>
  <si>
    <t>დარიცხვა</t>
  </si>
  <si>
    <t>საშტ.ერთეული</t>
  </si>
  <si>
    <t>მატების სხვაობა</t>
  </si>
  <si>
    <t>2025წლის თვე მატებით</t>
  </si>
  <si>
    <t>სულ მატება თვეში</t>
  </si>
  <si>
    <t>სულ მატება წლიური</t>
  </si>
  <si>
    <t>2024        წლის თვე</t>
  </si>
  <si>
    <t>აღმზრდელი მასწავლებელი მეორე ცვლის</t>
  </si>
  <si>
    <t>აღმზრდელი მასწავლებელი პირველი ცვლის</t>
  </si>
  <si>
    <t xml:space="preserve">აღმზრდელი მასწავლებელი </t>
  </si>
  <si>
    <t>მთ. მწვრთნელი</t>
  </si>
  <si>
    <t>სპეციალისტი კადრების დარგში (ეიჩარი)</t>
  </si>
  <si>
    <t>სამსახურის უფროსი</t>
  </si>
  <si>
    <t xml:space="preserve"> პერსონალური მონაცემთა დაცვის ოფიცერი</t>
  </si>
  <si>
    <t xml:space="preserve">2024 წელი  </t>
  </si>
  <si>
    <t xml:space="preserve">2025 წლის პროექტი  </t>
  </si>
  <si>
    <t xml:space="preserve"> ქობულეთის მუნიციპალიტეტის მერიის 2025 წლის საშტატო ნუსხისა და თანამდებობრივი სარგოს პროექტი</t>
  </si>
  <si>
    <t>სამსახურის უფროსის მოადგილე</t>
  </si>
  <si>
    <t>წამყვანი სპეციალისტი</t>
  </si>
  <si>
    <t>რწმუნებული</t>
  </si>
  <si>
    <t>რწმუნებულის სპეციალისტი</t>
  </si>
  <si>
    <t>მერიის ჯამი</t>
  </si>
  <si>
    <t>მუნიციპალიტეტის მერიის შტადგარეშე მომუშავეთა ანაზღაურების პროექტი</t>
  </si>
  <si>
    <t>საკრებულოს შტადგარეშე მომუშავეთა ანაზღაურების პროექტი</t>
  </si>
  <si>
    <t xml:space="preserve"> სპეციალისტი</t>
  </si>
  <si>
    <t>მუნიციპალიტეტის საკრებულოს  მთავარი სპეციალისტი</t>
  </si>
  <si>
    <t>მუნიციპალიტეტის საკრებულოს  განყოფილების უფროსი</t>
  </si>
  <si>
    <t>მუნიციპალიტეტის საკრებულოს ( აპარატის უფროსი)</t>
  </si>
  <si>
    <t>მუნიციპალიტეტის მერი</t>
  </si>
  <si>
    <t>სულ ჯამი მუნიციპალიტეტი</t>
  </si>
  <si>
    <t xml:space="preserve"> ჯამი შპს</t>
  </si>
  <si>
    <t xml:space="preserve"> ჯამი (მერია+საკრებულო)</t>
  </si>
  <si>
    <t xml:space="preserve"> ჯამი აიპები</t>
  </si>
  <si>
    <t>2025 წლის ფონდი</t>
  </si>
  <si>
    <t>2025 წელი იანვარი-მარტი</t>
  </si>
  <si>
    <t>2025 წელი აპრილი-დეკემბერი</t>
  </si>
  <si>
    <t>სამი თვის ჯამი</t>
  </si>
  <si>
    <t>ცხრა თვის ჯამი</t>
  </si>
  <si>
    <t>სტადიონის მომვლელი</t>
  </si>
  <si>
    <t>აიპები</t>
  </si>
  <si>
    <t>შპს-ები</t>
  </si>
  <si>
    <t>შტადგარეშე</t>
  </si>
  <si>
    <t>დასახელება</t>
  </si>
  <si>
    <t>ძველი ხელფასების 100 % და აიპების 100%</t>
  </si>
  <si>
    <t xml:space="preserve"> ახალი ხელფასების 80 % და აიპების 100%</t>
  </si>
  <si>
    <t>თვის ფონდი მარტის ჩათვლით</t>
  </si>
  <si>
    <t>თვის ფონდი აპრილიდანფონდი</t>
  </si>
  <si>
    <t>2026 წელი</t>
  </si>
  <si>
    <t>2026 წლის მერიის საშტატო ნუსხა</t>
  </si>
  <si>
    <t>კოეფიციენტი</t>
  </si>
  <si>
    <t>ადმინისტრაციული ხელშეკრულებით დასაქმებული-პირი მერის წარმომადგენელი ქალაქ ქობულეთის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</si>
  <si>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დაბა ჩაქვის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</si>
  <si>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დაბა ოჩხამურის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</si>
  <si>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 ცეცხლაურის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</si>
  <si>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ჯიხანჯურის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</si>
  <si>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ალამბრის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</si>
  <si>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 აჭყვისთავის ადმინისტრაციულ ერთულში</t>
  </si>
  <si>
    <t>ადმინისტრაციული ხელშეკრულებით დასაქმებული-პირი მერის წარმომადგენელი ბობოყვათის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</si>
  <si>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 გვარას ადმინისტრაციულ ერთულში</t>
  </si>
  <si>
    <t>ადმინისტრაციული ხელშეკრულებით დასაქმებული-პირი მერის წარმომადგენელი დაგვას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</si>
  <si>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ზენითის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</si>
  <si>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კვირიკეს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</si>
  <si>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ლეღვას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</si>
  <si>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მუხაესტატეს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</si>
  <si>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 წყავროკას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</si>
  <si>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საჩინოს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</si>
  <si>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ქაქუთის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</si>
  <si>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სოფელ ქობულეთის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</si>
  <si>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ჩაისუბნის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</si>
  <si>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ციხისძირის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</si>
  <si>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ხალას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</si>
  <si>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ჭახათის ადმინისტრაციულ ერთეულში</t>
  </si>
  <si>
    <t>ადმინისტრაციული ხელშეკრულებით დასაქმებული-პირი მერის წარმომადგენელი ხუცუბნის ადმინისტრაციულ ერთეულში</t>
  </si>
  <si>
    <t>ადმინისტრაციული ხელშეკრულებით დასაქმებული პირი სოფელ ქობულეთის ადმინისტრაციულ ერთეულში</t>
  </si>
  <si>
    <t>ადმინისტრაციული ხელშეკრულებით დასაქმებული პირი ქაქუთის ადმინისტრაციულ ერთეულში</t>
  </si>
  <si>
    <t>ადმინისტრაციული ხელშეკრულებით დასაქმებული პირი საჩინოს ადმინისტრაციულ ერთეულში</t>
  </si>
  <si>
    <t>ადმინისტრაციული ხელშეკრულებით დასაქმებული პირი ციხისძირის ადმინისტრაციულ ერთეულში</t>
  </si>
  <si>
    <t>ადმინისტრაციული ხელშეკრულებით დასაქმებული პირი ჭახათის ადმინისტრაციულ ერთეულში</t>
  </si>
  <si>
    <t>ადმინისტრაციული ხელშეკრულებით დასაქმებული პირი ხუცუბნის ადმინისტრაციულ ერთეულში</t>
  </si>
  <si>
    <t>ადმინისტრაციული ხელშეკრულებით დასაქმებული პირი ხალას ადმინისტრაციულ ერთეულში</t>
  </si>
  <si>
    <t>ადმინისტრაციული ხელშეკრულებით დასაქმებული პირი წყავროკას ადმინისტრაციულ ერთეულში</t>
  </si>
  <si>
    <t>ადმინისტრაციული ხელშეკრულებით დასაქმებული პირი მუხაესტატეს ადმინისტრაციულ ერთეულში</t>
  </si>
  <si>
    <t>ადმინისტრაციული ხელშეკრულებით დასაქმებული პირი ლეღვას ადმინისტრაციულ ერთეულში</t>
  </si>
  <si>
    <t>ადმინისტრაციული ხელშეკრულებით დასაქმებული პირი კვირიკეს ადმინისტრაციულ ერთეულში</t>
  </si>
  <si>
    <t>ადმინისტრაციული ხელშეკრულებით დასაქმებული პირი ზენითის ადმინისტრაციულ ერთეულში</t>
  </si>
  <si>
    <t>ადმინისტრაციული ხელშეკრულებით დასაქმებული პირი გვარას ადმინისტრაციულ ერთულში</t>
  </si>
  <si>
    <t>ადმინისტრაციული ხელშეკრულებით დასაქმებული პირი ბობოყვათის ადმინისტრაციულ ერთეულში</t>
  </si>
  <si>
    <t>ადმინისტრაციული ხელშეკრულებით დასაქმებული პირი აჭყვისთავის ადმინისტრაციულ ერთულში</t>
  </si>
  <si>
    <t>ადმინისტრაციული ხელშეკრულებით დასაქმებული პირი ჯიხანჯურის ადმინისტრაციულ ერთეულში</t>
  </si>
  <si>
    <t>ადმინისტრაციული ხელშეკრულებით დასაქმებული პირი დაბა ცეცხლაურში ადმინისტრაციულ ერთეულში</t>
  </si>
  <si>
    <t>ადმინისტრაციული ხელშეკრულებით დასაქმებული პირი  დაბა ოჩხამურის ადმინისტრაციულ ერთეულში</t>
  </si>
  <si>
    <t>ადმინისტრაციული ხელშეკრულებით დასაქმებული პირი დაბა ჩაქვის ადმინისტრაციულ ერთეულში</t>
  </si>
  <si>
    <t>ადმინისტრაციული ხელშეკრულებით დასაქმებული პირი ქალაქ ქობულეთის ადმინისტრაციულ ერთეულში</t>
  </si>
  <si>
    <t>ადმინისტრაციული ხელშეკრულებით დასაქმებული პირი ალამბრის ადმინისტრაციულ ერთეულში</t>
  </si>
  <si>
    <t>ადმინისტრაციული ხელშეკრულებით დასაქმებული პირი დაგვას ადმინისტრაციულ ერთეულში</t>
  </si>
  <si>
    <t>ადმინისტრაციული ხელშეკრულებით დასაქმებული პირი ჩაისუბნის ადმინისტრაციულ ერთეულში</t>
  </si>
  <si>
    <t xml:space="preserve"> მეორე კატეგორიის  უფროსი სპეციალისტი ადმინისტრაციულ საკითხებში</t>
  </si>
  <si>
    <t xml:space="preserve"> მეორე კატეგორიის  უფროსი სპეციალისტი სამართლებრივი ექსპერტიზის საკითხებში</t>
  </si>
  <si>
    <t xml:space="preserve">მეორე კატეგორიის უფროსი სპეციალისტი  </t>
  </si>
  <si>
    <t xml:space="preserve">მეორე კატეგორიის  უფროსი სპეციალისტი  </t>
  </si>
  <si>
    <t xml:space="preserve"> მეორე კატეგორიის უფროსი სპეციალისტი - საარქივო საკითხებში</t>
  </si>
  <si>
    <t xml:space="preserve">მეორე კატეგორიის  უფროსი სპეციალისტი </t>
  </si>
  <si>
    <t xml:space="preserve"> მეორე კატეგორიის  უფროსი სპეციალისტი </t>
  </si>
  <si>
    <t xml:space="preserve"> მეორე კატეგორიის უფროსი სპეციალისტი</t>
  </si>
  <si>
    <t xml:space="preserve"> მეორე კატეგორიის  უფროსი სპეციალისტი მერიის საქმიანობის სრულყოფის. მართვის პროცედურებისა და  სამართლებრივი ხარვეზების აღმოფხვრისა და პრევენციის საკითხებში</t>
  </si>
  <si>
    <t xml:space="preserve"> მეორე კატეგორიის  უფროსი სპეციალისტი მიმდინარე ზედამხედველობის. მიმდინარე პროცესებისა და გაცემული რეკომენდაციების შესრულების მონიტორინგის საკითხებში</t>
  </si>
  <si>
    <t>მეორე კატეგორიის  უფროსი სპეციალისტი მერიის საქმიანობის სრულყოფის. მართვის პროცედურების მწარმოებლურობის. სამართლებრივი. ტექნიკური და ფუნქციური ხარვეზების აღმოფხვრისა და პრევენციის საკითხებში</t>
  </si>
  <si>
    <t>მეორე კატეგორიის  უფროსი სპეციალისტი სოციალური დაცვის საკითხებში</t>
  </si>
  <si>
    <t>მეორე კატეგორიის  უფროსი სპეციალისტი - იურისტი</t>
  </si>
  <si>
    <t xml:space="preserve"> მეორე კატეგორიის  უფროსი სპეციალისტი ჯანმრთელობის დაცვის საკითხებში</t>
  </si>
  <si>
    <t xml:space="preserve"> მესამე კატეგორიის  უფროსი სპეციალისტი -იურისტი</t>
  </si>
  <si>
    <t xml:space="preserve"> მესამე კატეგორიის  უფროსი სპეციალისტი სივრცითი მოწყობის საკითხებში </t>
  </si>
  <si>
    <t xml:space="preserve"> მესამე კატეგორიის  უფროსი სპეციალისტი  შესყიდვების საკითხებში</t>
  </si>
  <si>
    <t xml:space="preserve"> მეორე კატეგორიის  უფროსი სპეციალისტი შესყიდვების საკითხებში</t>
  </si>
  <si>
    <r>
      <t xml:space="preserve"> მეორე კატეგორიის  უფროსი სპეციალისტი </t>
    </r>
    <r>
      <rPr>
        <sz val="11"/>
        <rFont val="Sylfaen"/>
        <family val="1"/>
      </rPr>
      <t>ქონების მონიტორინგის საკითხებში</t>
    </r>
  </si>
  <si>
    <r>
      <t xml:space="preserve"> მეორე კატეგორიის  უფროსი სპეციალისტი </t>
    </r>
    <r>
      <rPr>
        <sz val="11"/>
        <rFont val="Sylfaen"/>
        <family val="1"/>
      </rPr>
      <t>ქონების განკარგვის საკითხებში</t>
    </r>
  </si>
  <si>
    <r>
      <t xml:space="preserve"> მეორე კატეგორიის  უფროსი სპეციალისტი </t>
    </r>
    <r>
      <rPr>
        <sz val="11"/>
        <rFont val="Sylfaen"/>
        <family val="1"/>
      </rPr>
      <t>ქონების აღრიცხვის საკითხებში</t>
    </r>
  </si>
  <si>
    <r>
      <t xml:space="preserve">მეორე კატეგორიის  უფროსი სპეციალისტი </t>
    </r>
    <r>
      <rPr>
        <sz val="11"/>
        <rFont val="Sylfaen"/>
        <family val="1"/>
      </rPr>
      <t xml:space="preserve">ბუნებრივი რესურსების მართვის საკითხებში </t>
    </r>
  </si>
  <si>
    <r>
      <t xml:space="preserve"> მეორე კატეგორიის  უფროსი სპეციალისტი </t>
    </r>
    <r>
      <rPr>
        <sz val="11"/>
        <rFont val="Sylfaen"/>
        <family val="1"/>
      </rPr>
      <t xml:space="preserve">სოფლის მეურნეობის საკითხებში </t>
    </r>
  </si>
  <si>
    <t xml:space="preserve"> მეორე კატეგორიის  უფროსი სპეციალისტი</t>
  </si>
  <si>
    <t>საჯარო დაწესებულების პირველადი სტრუქტურული ერთეული  ადმინისტრაციული სამსახური</t>
  </si>
  <si>
    <t>საჯარო დაწესებულების პირველადი სტრუქტურული ერთეულის სამსახურის უფროსი</t>
  </si>
  <si>
    <t>საჯარო დაწესებულების პირველადი სტრუქტურული ერთეულის, ჯანმრთელობისა და სოციალური დაცვის სამსახური</t>
  </si>
  <si>
    <t>საჯარო დაწესებულების პირველადი სტრუქტურული ერთეულის, შიდა აუდიტის სამსახური</t>
  </si>
  <si>
    <t>საჯარო დაწესებულების პირველადი სტრუქტურული ერთეულის, არქიტექტურისა და სივრცითი მოწყობის სამსახური</t>
  </si>
  <si>
    <t xml:space="preserve"> საჯარო დაწესებულების პირველადი სტრუქტურული ერთეულის,   ეკონომიკის. ქონების მართვისა და სოფლის მეურნეობის განვითარების სამსახური </t>
  </si>
  <si>
    <t xml:space="preserve">საჯარო დაწესებულების პირველადი სტრუქტურული ერთეულის,   საფინანსო- საბიუჯეტო სამსახური </t>
  </si>
  <si>
    <t>საჯარო დაწესებულების მეორადი სტრუქტურული ერთეულის იურიდიული განყოფილება</t>
  </si>
  <si>
    <t>საჯარო დაწესებულების მეორადი სტრუქტურული ერთეულის ადამიანური რესურსების მართვის განყოფილება</t>
  </si>
  <si>
    <t>საჯარო დაწესებულების მეორადი სტრუქტურული ერთეულის საქმისწარმოების განყოფილება</t>
  </si>
  <si>
    <t>საჯარო დაწესებულების მეორადი სტრუქტურული ერთეულის, მერის წარმომადგენელთა კოორდინაციის   განყოფილება</t>
  </si>
  <si>
    <t>საჯარო დაწესებულების მეორადი სტრუქტურული ერთეულის, საორგანიზაციო  საკითხთა  განყოფილება</t>
  </si>
  <si>
    <t xml:space="preserve">   საჯარო დაწესებულების მეორადი სტრუქტურული ერთეულის,   ბიუჯეტის აღრიცხვის. დაგეგმარებისა და ფორმირების განყოფილება</t>
  </si>
  <si>
    <t>საჯარო დაწესებულების მეორადი სტრუქტურული ერთეულის, ბუღალტრული აღრიცხვისა და ხაზინასთან ურთიერთობის განყოფილება</t>
  </si>
  <si>
    <t>საჯარო დაწესებულების მეორადი სტრუქტურული ერთეულის   სახელმწიფო შესყიდვების განყოფილება</t>
  </si>
  <si>
    <t>საჯარო დაწესებულების მეორადი სტრუქტურული ერთეულის ,მიმდინარე ზედამხედველობის, მიმდინარე პროცესებისა და გაცემული რეკომენდაციების შესრულების მონიტორინგის განყოფილება</t>
  </si>
  <si>
    <t xml:space="preserve"> საჯარო დაწესებულების მეორადი სტრუქტურული ერთეულის ქონების მართვისა და მონიტორინგის განყოფილება</t>
  </si>
  <si>
    <r>
      <rPr>
        <sz val="11"/>
        <color theme="1"/>
        <rFont val="Sylfaen"/>
        <family val="1"/>
      </rPr>
      <t>მეორე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კატეგორიის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უფროსი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სპეციალისტი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სპორტის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საკითხებში</t>
    </r>
  </si>
  <si>
    <r>
      <rPr>
        <sz val="11"/>
        <color theme="1"/>
        <rFont val="Sylfaen"/>
        <family val="1"/>
      </rPr>
      <t>მეორე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კატეგორიის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უფროსი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სპეციალისტი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განათლების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საკითხებში</t>
    </r>
  </si>
  <si>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მეორე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კატეგორიის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უფროსი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სპეციალისტი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კულტურის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საკითხებში</t>
    </r>
  </si>
  <si>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მეორე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კატეგორიის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უფროსი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სპეციალისტი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ქალისა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და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მამაკაცის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თანასწორობის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საკითხებში</t>
    </r>
  </si>
  <si>
    <r>
      <t>საჯარო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Sylfaen"/>
        <family val="1"/>
      </rPr>
      <t>დაწესებულების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Sylfaen"/>
        <family val="1"/>
      </rPr>
      <t>მეორადი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Sylfaen"/>
        <family val="1"/>
      </rPr>
      <t>სტრუქტურული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Sylfaen"/>
        <family val="1"/>
      </rPr>
      <t>ერთეულის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Sylfaen"/>
        <family val="1"/>
      </rPr>
      <t>ტურიზმისა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Sylfaen"/>
        <family val="1"/>
      </rPr>
      <t>და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Sylfaen"/>
        <family val="1"/>
      </rPr>
      <t>საერთაშორისო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Sylfaen"/>
        <family val="1"/>
      </rPr>
      <t>განვითარების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Sylfaen"/>
        <family val="1"/>
      </rPr>
      <t>განყოფილება</t>
    </r>
  </si>
  <si>
    <t>თანამდებობის იერარქიული რანგი</t>
  </si>
  <si>
    <t xml:space="preserve">სამსახურის უფროსის მოადგილე   </t>
  </si>
  <si>
    <t>მეორე კატეგორიის  უფროსი სპეციალისტი ბავშვისა და ოჯახის სოციალური მუშაკი</t>
  </si>
  <si>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მეორე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კატეგორიის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უფროსი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Sylfaen"/>
        <family val="1"/>
      </rPr>
      <t>სპეციალისტი</t>
    </r>
  </si>
  <si>
    <t xml:space="preserve">მესამე კატეგორიის  უფროსი სპეციალისტი </t>
  </si>
  <si>
    <t>მესამე კატეგორიის  უფროსი სპეციალისტი - ინსპექტორი</t>
  </si>
  <si>
    <t>მეორე კატეგორიის  უფროსი სპეციალისტი მშენებლობის ნებართვების საკითხებში</t>
  </si>
  <si>
    <t>სოციალური, ბავშვთა დაცვისა და მხარდამჭერის განყოფილების უფროსი-კორდინატორი</t>
  </si>
  <si>
    <t xml:space="preserve"> საჯარო დაწესებულების მეორადი სტრუქტურული ერთეულის, სოციალური, ბავშვთა დაცვისა და მხარდამჭერის განყოფილება</t>
  </si>
  <si>
    <t xml:space="preserve"> მეორე კატეგორიის უფროსი სპეციალისტი -საზოგადოებასთან ურთიერთობის საკითხებში</t>
  </si>
  <si>
    <t xml:space="preserve"> მეორე კატეგორიის უფროსი სპეციალისტი მშენებლობის ნებართვებისა და ლეგალიზების საკითხებში</t>
  </si>
  <si>
    <t>საჯარო დაწესებულების პირველადი სტრუქტურული ერთეულის განათლების, კულტურის, სპორტის, ტურიზმისა და ახალგაზრდულ საქმეთა სამსახური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</si>
</sst>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_(* #,##0.00_);_(* \(#,##0.00\);_(* &quot;-&quot;??_);_(@_)"/>
    <numFmt numFmtId="165" formatCode="_-* #,##0.00_-;\-* #,##0.00_-;_-* &quot;-&quot;??_-;_-@_-"/>
    <numFmt numFmtId="166" formatCode="_-&quot;£&quot;* #,##0.00_-;\-&quot;£&quot;* #,##0.00_-;_-&quot;£&quot;* &quot;-&quot;??_-;_-@_-"/>
    <numFmt numFmtId="167" formatCode="_-* #,##0.00_₾_-;\-* #,##0.00_₾_-;_-* &quot;-&quot;??_₾_-;_-@_-"/>
    <numFmt numFmtId="168" formatCode="_-* #,##0\ _L_._-;\-* #,##0\ _L_._-;_-* &quot;-&quot;\ _L_._-;_-@_-"/>
    <numFmt numFmtId="169" formatCode="_-* #,##0.00\ _L_._-;\-* #,##0.00\ _L_._-;_-* &quot;-&quot;??\ _L_._-;_-@_-"/>
    <numFmt numFmtId="170" formatCode="_ * #,##0_)\ _L_ ;_ * \(#,##0\)\ _L_ ;_ * &quot;-&quot;_)\ _L_ ;_ @_ "/>
    <numFmt numFmtId="171" formatCode="_ * #,##0.00_)\ _L_ ;_ * \(#,##0.00\)\ _L_ ;_ * &quot;-&quot;??_)\ _L_ ;_ @_ "/>
    <numFmt numFmtId="172" formatCode="_-* #,##0_р_._-;\-* #,##0_р_._-;_-* &quot;-&quot;??_р_._-;_-@_-"/>
    <numFmt numFmtId="173" formatCode="0.0"/>
    <numFmt numFmtId="174" formatCode="#,##0.0"/>
    <numFmt numFmtId="175" formatCode="_-* #,##0_-;\-* #,##0_-;_-* &quot;-&quot;??_-;_-@_-"/>
    <numFmt numFmtId="176" formatCode="_(* #,##0_);_(* \(#,##0\);_(* &quot;-&quot;??_);_(@_)"/>
  </numFmts>
  <fonts count="10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Sylfaen"/>
      <family val="1"/>
    </font>
    <font>
      <sz val="10"/>
      <name val="Arial"/>
      <family val="2"/>
    </font>
    <font>
      <sz val="10"/>
      <name val="Literaturuly"/>
      <family val="2"/>
    </font>
    <font>
      <sz val="10"/>
      <name val="Arial Cy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Sylfaen"/>
      <family val="1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Sylfaen"/>
      <family val="1"/>
    </font>
    <font>
      <b/>
      <sz val="16"/>
      <name val="AcadNusx"/>
    </font>
    <font>
      <sz val="14"/>
      <name val="AcadNusx"/>
    </font>
    <font>
      <b/>
      <sz val="12"/>
      <name val="AcadNusx"/>
    </font>
    <font>
      <b/>
      <sz val="11"/>
      <name val="Arial"/>
      <family val="2"/>
    </font>
    <font>
      <sz val="12"/>
      <name val="AcadNusx"/>
    </font>
    <font>
      <sz val="12"/>
      <name val="Arial"/>
      <family val="2"/>
    </font>
    <font>
      <sz val="11"/>
      <name val="Arial"/>
      <family val="2"/>
    </font>
    <font>
      <b/>
      <sz val="20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  <font>
      <b/>
      <sz val="12"/>
      <name val="Sylfaen"/>
      <family val="1"/>
    </font>
    <font>
      <b/>
      <sz val="12"/>
      <name val="Calibri"/>
      <family val="2"/>
      <scheme val="minor"/>
    </font>
    <font>
      <b/>
      <sz val="11"/>
      <color rgb="FF000000"/>
      <name val="Sylfaen"/>
      <family val="1"/>
      <charset val="204"/>
    </font>
    <font>
      <b/>
      <sz val="9"/>
      <color rgb="FF000000"/>
      <name val="Sylfaen"/>
      <family val="1"/>
      <charset val="204"/>
    </font>
    <font>
      <b/>
      <sz val="14"/>
      <color rgb="FF000000"/>
      <name val="Sylfaen"/>
      <family val="1"/>
      <charset val="204"/>
    </font>
    <font>
      <sz val="14"/>
      <color theme="1"/>
      <name val="Calibri"/>
      <family val="2"/>
      <scheme val="minor"/>
    </font>
    <font>
      <sz val="11"/>
      <color rgb="FF000000"/>
      <name val="Sylfaen"/>
      <family val="1"/>
      <charset val="204"/>
    </font>
    <font>
      <sz val="13"/>
      <color rgb="FF000000"/>
      <name val="Sylfaen"/>
      <family val="1"/>
      <charset val="204"/>
    </font>
    <font>
      <b/>
      <sz val="13"/>
      <color rgb="FF000000"/>
      <name val="Sylfaen"/>
      <family val="1"/>
      <charset val="204"/>
    </font>
    <font>
      <b/>
      <sz val="12"/>
      <color rgb="FF000000"/>
      <name val="Sylfae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0"/>
      <name val="AcadNusx"/>
    </font>
    <font>
      <sz val="10"/>
      <name val="AcadNusx"/>
    </font>
    <font>
      <b/>
      <sz val="12"/>
      <color rgb="FF000000"/>
      <name val="Sylfaen"/>
      <family val="1"/>
    </font>
    <font>
      <b/>
      <sz val="14"/>
      <name val="Calibri"/>
      <family val="2"/>
      <scheme val="minor"/>
    </font>
    <font>
      <b/>
      <sz val="12"/>
      <name val="Arial"/>
      <family val="2"/>
    </font>
    <font>
      <b/>
      <sz val="11"/>
      <color rgb="FF000000"/>
      <name val="Sylfaen"/>
      <family val="1"/>
    </font>
    <font>
      <b/>
      <sz val="12"/>
      <color theme="1"/>
      <name val="Sylfaen"/>
      <family val="1"/>
      <charset val="204"/>
    </font>
    <font>
      <sz val="11"/>
      <color rgb="FF000000"/>
      <name val="Sylfaen"/>
      <family val="1"/>
    </font>
    <font>
      <sz val="11"/>
      <name val="Sylfaen"/>
      <family val="1"/>
      <charset val="204"/>
    </font>
    <font>
      <sz val="11"/>
      <name val="Sylfaen"/>
      <family val="1"/>
    </font>
    <font>
      <b/>
      <sz val="11"/>
      <name val="Sylfaen"/>
      <family val="1"/>
      <charset val="204"/>
    </font>
    <font>
      <b/>
      <sz val="11"/>
      <name val="Sylfaen"/>
      <family val="1"/>
    </font>
    <font>
      <b/>
      <sz val="10"/>
      <name val="Sylfaen"/>
      <family val="1"/>
    </font>
    <font>
      <sz val="11"/>
      <name val="Calibri"/>
      <family val="2"/>
      <scheme val="minor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b/>
      <sz val="11"/>
      <name val="Arial"/>
      <family val="2"/>
      <charset val="204"/>
    </font>
    <font>
      <sz val="10"/>
      <color theme="1"/>
      <name val="Sylfaen"/>
      <family val="1"/>
    </font>
    <font>
      <b/>
      <sz val="16"/>
      <color theme="1"/>
      <name val="Calibri"/>
      <family val="2"/>
      <scheme val="minor"/>
    </font>
    <font>
      <sz val="12"/>
      <name val="Arial"/>
      <family val="2"/>
      <charset val="204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Literaturuly"/>
      <family val="2"/>
    </font>
    <font>
      <b/>
      <sz val="9"/>
      <name val="AcadNusx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FF0000"/>
      <name val="Calibri"/>
      <family val="2"/>
      <charset val="204"/>
      <scheme val="minor"/>
    </font>
    <font>
      <sz val="9"/>
      <name val="AcadNusx"/>
    </font>
    <font>
      <b/>
      <sz val="9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name val="Sylfaen"/>
      <family val="1"/>
    </font>
    <font>
      <b/>
      <sz val="9"/>
      <color rgb="FF000000"/>
      <name val="Sylfaen"/>
      <family val="1"/>
    </font>
    <font>
      <b/>
      <sz val="9"/>
      <color theme="1"/>
      <name val="Calibri"/>
      <family val="2"/>
      <charset val="204"/>
      <scheme val="minor"/>
    </font>
    <font>
      <sz val="10"/>
      <color theme="0"/>
      <name val="Calibri"/>
      <family val="2"/>
      <charset val="204"/>
      <scheme val="minor"/>
    </font>
    <font>
      <sz val="12"/>
      <color rgb="FFFF0000"/>
      <name val="Sylfaen"/>
      <family val="1"/>
    </font>
    <font>
      <sz val="11"/>
      <color rgb="FFFF0000"/>
      <name val="Arial"/>
      <family val="2"/>
    </font>
    <font>
      <sz val="10"/>
      <color rgb="FFFF0000"/>
      <name val="AcadNusx"/>
    </font>
    <font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rgb="FF000000"/>
      <name val="Sylfaen"/>
      <family val="1"/>
      <charset val="204"/>
    </font>
    <font>
      <b/>
      <sz val="14"/>
      <color theme="1"/>
      <name val="Sylfaen"/>
      <family val="1"/>
      <charset val="204"/>
    </font>
    <font>
      <b/>
      <sz val="9"/>
      <name val="Sylfaen"/>
      <family val="1"/>
    </font>
    <font>
      <sz val="14"/>
      <name val="Sylfaen"/>
      <family val="1"/>
    </font>
    <font>
      <sz val="14"/>
      <name val="Calibri"/>
      <family val="2"/>
      <scheme val="minor"/>
    </font>
    <font>
      <sz val="11"/>
      <color theme="1"/>
      <name val="Sylfaen"/>
      <family val="1"/>
      <charset val="204"/>
    </font>
    <font>
      <sz val="11"/>
      <color theme="1"/>
      <name val="Times New Roman"/>
      <family val="1"/>
    </font>
    <font>
      <b/>
      <sz val="11"/>
      <color theme="1"/>
      <name val="Sylfaen"/>
      <family val="1"/>
    </font>
    <font>
      <b/>
      <sz val="11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1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/>
      <diagonal/>
    </border>
    <border>
      <left style="medium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23">
    <xf numFmtId="0" fontId="0" fillId="0" borderId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" fillId="0" borderId="2">
      <alignment horizontal="center" vertical="center"/>
    </xf>
    <xf numFmtId="0" fontId="6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8" fillId="0" borderId="0"/>
    <xf numFmtId="0" fontId="7" fillId="0" borderId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" fillId="0" borderId="0"/>
    <xf numFmtId="0" fontId="9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856">
    <xf numFmtId="0" fontId="0" fillId="0" borderId="0" xfId="0"/>
    <xf numFmtId="0" fontId="0" fillId="0" borderId="0" xfId="0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 shrinkToFit="1"/>
    </xf>
    <xf numFmtId="3" fontId="0" fillId="0" borderId="0" xfId="0" applyNumberFormat="1"/>
    <xf numFmtId="0" fontId="14" fillId="0" borderId="0" xfId="0" applyFont="1"/>
    <xf numFmtId="0" fontId="17" fillId="0" borderId="0" xfId="0" applyFont="1"/>
    <xf numFmtId="0" fontId="20" fillId="0" borderId="0" xfId="0" applyFont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14" fillId="0" borderId="0" xfId="0" applyFont="1" applyAlignment="1" applyProtection="1">
      <alignment vertical="center" wrapText="1"/>
      <protection locked="0"/>
    </xf>
    <xf numFmtId="0" fontId="5" fillId="0" borderId="0" xfId="6" applyFont="1" applyAlignment="1" applyProtection="1">
      <alignment vertical="center" wrapText="1"/>
      <protection locked="0"/>
    </xf>
    <xf numFmtId="3" fontId="3" fillId="3" borderId="1" xfId="0" applyNumberFormat="1" applyFont="1" applyFill="1" applyBorder="1" applyAlignment="1">
      <alignment horizontal="center" vertical="center" wrapText="1" shrinkToFit="1"/>
    </xf>
    <xf numFmtId="3" fontId="24" fillId="0" borderId="1" xfId="0" applyNumberFormat="1" applyFont="1" applyBorder="1" applyAlignment="1">
      <alignment horizontal="center" vertical="center" wrapText="1"/>
    </xf>
    <xf numFmtId="3" fontId="24" fillId="3" borderId="1" xfId="0" applyNumberFormat="1" applyFont="1" applyFill="1" applyBorder="1" applyAlignment="1">
      <alignment horizontal="center" vertical="center" wrapText="1"/>
    </xf>
    <xf numFmtId="3" fontId="24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3" fillId="3" borderId="6" xfId="0" applyNumberFormat="1" applyFont="1" applyFill="1" applyBorder="1" applyAlignment="1">
      <alignment horizontal="center" vertical="center" wrapText="1" shrinkToFit="1"/>
    </xf>
    <xf numFmtId="0" fontId="10" fillId="0" borderId="19" xfId="0" applyFont="1" applyBorder="1" applyAlignment="1">
      <alignment horizontal="center" vertical="center" textRotation="90" wrapText="1"/>
    </xf>
    <xf numFmtId="3" fontId="3" fillId="3" borderId="3" xfId="0" applyNumberFormat="1" applyFont="1" applyFill="1" applyBorder="1" applyAlignment="1">
      <alignment horizontal="center" vertical="center" wrapText="1" shrinkToFit="1"/>
    </xf>
    <xf numFmtId="3" fontId="3" fillId="3" borderId="4" xfId="0" applyNumberFormat="1" applyFont="1" applyFill="1" applyBorder="1" applyAlignment="1">
      <alignment horizontal="center" vertical="center" wrapText="1" shrinkToFit="1"/>
    </xf>
    <xf numFmtId="3" fontId="3" fillId="3" borderId="7" xfId="0" applyNumberFormat="1" applyFont="1" applyFill="1" applyBorder="1" applyAlignment="1">
      <alignment horizontal="center" vertical="center" wrapText="1" shrinkToFit="1"/>
    </xf>
    <xf numFmtId="3" fontId="3" fillId="0" borderId="5" xfId="0" applyNumberFormat="1" applyFont="1" applyBorder="1" applyAlignment="1">
      <alignment horizontal="center" vertical="center" wrapText="1" shrinkToFit="1"/>
    </xf>
    <xf numFmtId="0" fontId="29" fillId="0" borderId="0" xfId="0" applyFont="1"/>
    <xf numFmtId="3" fontId="3" fillId="3" borderId="21" xfId="0" applyNumberFormat="1" applyFont="1" applyFill="1" applyBorder="1" applyAlignment="1">
      <alignment horizontal="center" vertical="center" wrapText="1" shrinkToFit="1"/>
    </xf>
    <xf numFmtId="3" fontId="3" fillId="0" borderId="21" xfId="0" applyNumberFormat="1" applyFont="1" applyBorder="1" applyAlignment="1">
      <alignment horizontal="center" vertical="center" wrapText="1" shrinkToFit="1"/>
    </xf>
    <xf numFmtId="3" fontId="3" fillId="0" borderId="22" xfId="0" applyNumberFormat="1" applyFont="1" applyBorder="1" applyAlignment="1">
      <alignment horizontal="center" vertical="center" wrapText="1" shrinkToFit="1"/>
    </xf>
    <xf numFmtId="3" fontId="18" fillId="0" borderId="25" xfId="0" applyNumberFormat="1" applyFont="1" applyBorder="1" applyAlignment="1">
      <alignment horizontal="center" vertical="center" wrapText="1" shrinkToFit="1"/>
    </xf>
    <xf numFmtId="0" fontId="10" fillId="0" borderId="31" xfId="0" applyFont="1" applyBorder="1" applyAlignment="1">
      <alignment horizontal="center" vertical="center" textRotation="90" wrapText="1"/>
    </xf>
    <xf numFmtId="3" fontId="28" fillId="3" borderId="32" xfId="0" applyNumberFormat="1" applyFont="1" applyFill="1" applyBorder="1" applyAlignment="1">
      <alignment horizontal="center" vertical="center" wrapText="1" shrinkToFit="1"/>
    </xf>
    <xf numFmtId="3" fontId="3" fillId="3" borderId="33" xfId="0" applyNumberFormat="1" applyFont="1" applyFill="1" applyBorder="1" applyAlignment="1">
      <alignment horizontal="center" vertical="center" wrapText="1" shrinkToFit="1"/>
    </xf>
    <xf numFmtId="3" fontId="28" fillId="3" borderId="9" xfId="0" applyNumberFormat="1" applyFont="1" applyFill="1" applyBorder="1" applyAlignment="1">
      <alignment horizontal="center" vertical="center" wrapText="1" shrinkToFit="1"/>
    </xf>
    <xf numFmtId="3" fontId="28" fillId="3" borderId="34" xfId="0" applyNumberFormat="1" applyFont="1" applyFill="1" applyBorder="1" applyAlignment="1">
      <alignment horizontal="center" vertical="center" wrapText="1" shrinkToFit="1"/>
    </xf>
    <xf numFmtId="3" fontId="3" fillId="3" borderId="35" xfId="0" applyNumberFormat="1" applyFont="1" applyFill="1" applyBorder="1" applyAlignment="1">
      <alignment horizontal="center" vertical="center" wrapText="1" shrinkToFit="1"/>
    </xf>
    <xf numFmtId="3" fontId="28" fillId="0" borderId="36" xfId="0" applyNumberFormat="1" applyFont="1" applyBorder="1" applyAlignment="1">
      <alignment horizontal="center" vertical="center" wrapText="1" shrinkToFit="1"/>
    </xf>
    <xf numFmtId="3" fontId="15" fillId="0" borderId="37" xfId="0" applyNumberFormat="1" applyFont="1" applyBorder="1" applyAlignment="1">
      <alignment horizontal="center" vertical="center" wrapText="1" shrinkToFit="1"/>
    </xf>
    <xf numFmtId="3" fontId="15" fillId="0" borderId="38" xfId="0" applyNumberFormat="1" applyFont="1" applyBorder="1" applyAlignment="1">
      <alignment horizontal="center" vertical="center" wrapText="1" shrinkToFit="1"/>
    </xf>
    <xf numFmtId="0" fontId="0" fillId="0" borderId="3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3" fontId="3" fillId="0" borderId="9" xfId="0" applyNumberFormat="1" applyFont="1" applyBorder="1" applyAlignment="1">
      <alignment horizontal="center" vertical="center" wrapText="1" shrinkToFit="1"/>
    </xf>
    <xf numFmtId="0" fontId="0" fillId="0" borderId="34" xfId="0" applyBorder="1" applyAlignment="1">
      <alignment horizontal="center" vertical="center" wrapText="1"/>
    </xf>
    <xf numFmtId="0" fontId="17" fillId="0" borderId="36" xfId="0" applyFont="1" applyBorder="1"/>
    <xf numFmtId="0" fontId="18" fillId="0" borderId="40" xfId="0" applyFont="1" applyBorder="1" applyAlignment="1">
      <alignment horizontal="center" vertical="center" wrapText="1" shrinkToFit="1"/>
    </xf>
    <xf numFmtId="0" fontId="17" fillId="0" borderId="0" xfId="0" applyFont="1" applyAlignment="1">
      <alignment vertical="center" wrapText="1"/>
    </xf>
    <xf numFmtId="0" fontId="34" fillId="6" borderId="0" xfId="0" applyFont="1" applyFill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38" fillId="0" borderId="0" xfId="0" applyFont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3" borderId="43" xfId="0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 wrapText="1"/>
    </xf>
    <xf numFmtId="0" fontId="5" fillId="0" borderId="0" xfId="6" applyFont="1" applyAlignment="1" applyProtection="1">
      <alignment horizontal="center" vertical="center" wrapText="1"/>
      <protection locked="0"/>
    </xf>
    <xf numFmtId="175" fontId="0" fillId="0" borderId="0" xfId="21" applyNumberFormat="1" applyFont="1" applyAlignment="1">
      <alignment horizontal="center" vertical="center" wrapText="1"/>
    </xf>
    <xf numFmtId="175" fontId="0" fillId="0" borderId="0" xfId="21" applyNumberFormat="1" applyFont="1" applyBorder="1" applyAlignment="1">
      <alignment vertical="center" wrapText="1"/>
    </xf>
    <xf numFmtId="0" fontId="0" fillId="0" borderId="19" xfId="0" applyBorder="1" applyAlignment="1">
      <alignment horizontal="center" vertical="center" wrapText="1"/>
    </xf>
    <xf numFmtId="0" fontId="0" fillId="8" borderId="0" xfId="0" applyFill="1" applyAlignment="1">
      <alignment vertical="center" wrapText="1"/>
    </xf>
    <xf numFmtId="0" fontId="0" fillId="8" borderId="0" xfId="0" applyFill="1" applyAlignment="1" applyProtection="1">
      <alignment vertical="center" wrapText="1"/>
      <protection locked="0"/>
    </xf>
    <xf numFmtId="3" fontId="24" fillId="0" borderId="9" xfId="0" applyNumberFormat="1" applyFont="1" applyBorder="1" applyAlignment="1">
      <alignment horizontal="center" vertical="center" wrapText="1"/>
    </xf>
    <xf numFmtId="3" fontId="24" fillId="0" borderId="77" xfId="0" applyNumberFormat="1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74" fontId="53" fillId="7" borderId="56" xfId="19" applyNumberFormat="1" applyFont="1" applyFill="1" applyBorder="1" applyAlignment="1">
      <alignment horizontal="center" vertical="center" wrapText="1"/>
    </xf>
    <xf numFmtId="3" fontId="53" fillId="7" borderId="52" xfId="19" applyNumberFormat="1" applyFont="1" applyFill="1" applyBorder="1" applyAlignment="1">
      <alignment horizontal="center" vertical="center" wrapText="1"/>
    </xf>
    <xf numFmtId="173" fontId="56" fillId="7" borderId="56" xfId="19" applyNumberFormat="1" applyFont="1" applyFill="1" applyBorder="1" applyAlignment="1">
      <alignment horizontal="center" vertical="center" wrapText="1"/>
    </xf>
    <xf numFmtId="3" fontId="56" fillId="7" borderId="52" xfId="19" applyNumberFormat="1" applyFont="1" applyFill="1" applyBorder="1" applyAlignment="1">
      <alignment horizontal="center" vertical="center" wrapText="1"/>
    </xf>
    <xf numFmtId="0" fontId="53" fillId="2" borderId="55" xfId="19" applyFont="1" applyFill="1" applyBorder="1" applyAlignment="1" applyProtection="1">
      <alignment horizontal="center" vertical="center" wrapText="1"/>
      <protection locked="0"/>
    </xf>
    <xf numFmtId="0" fontId="54" fillId="0" borderId="26" xfId="19" applyFont="1" applyBorder="1" applyAlignment="1">
      <alignment horizontal="left" vertical="center" wrapText="1"/>
    </xf>
    <xf numFmtId="0" fontId="54" fillId="0" borderId="11" xfId="19" applyFont="1" applyBorder="1" applyAlignment="1">
      <alignment horizontal="left" vertical="center" wrapText="1"/>
    </xf>
    <xf numFmtId="0" fontId="55" fillId="0" borderId="11" xfId="19" applyFont="1" applyBorder="1" applyAlignment="1">
      <alignment horizontal="left" vertical="center" wrapText="1"/>
    </xf>
    <xf numFmtId="0" fontId="53" fillId="5" borderId="62" xfId="19" applyFont="1" applyFill="1" applyBorder="1" applyAlignment="1" applyProtection="1">
      <alignment horizontal="center" vertical="center" wrapText="1"/>
      <protection locked="0"/>
    </xf>
    <xf numFmtId="0" fontId="53" fillId="5" borderId="40" xfId="19" applyFont="1" applyFill="1" applyBorder="1" applyAlignment="1" applyProtection="1">
      <alignment horizontal="center" vertical="center" wrapText="1"/>
      <protection locked="0"/>
    </xf>
    <xf numFmtId="0" fontId="53" fillId="5" borderId="8" xfId="19" applyFont="1" applyFill="1" applyBorder="1" applyAlignment="1" applyProtection="1">
      <alignment horizontal="center" vertical="center" wrapText="1"/>
      <protection locked="0"/>
    </xf>
    <xf numFmtId="0" fontId="54" fillId="3" borderId="26" xfId="19" applyFont="1" applyFill="1" applyBorder="1" applyAlignment="1">
      <alignment horizontal="left" vertical="center" wrapText="1"/>
    </xf>
    <xf numFmtId="0" fontId="54" fillId="3" borderId="11" xfId="19" applyFont="1" applyFill="1" applyBorder="1" applyAlignment="1">
      <alignment horizontal="left" vertical="center" wrapText="1"/>
    </xf>
    <xf numFmtId="0" fontId="53" fillId="7" borderId="8" xfId="19" applyFont="1" applyFill="1" applyBorder="1" applyAlignment="1" applyProtection="1">
      <alignment horizontal="center" vertical="center" wrapText="1"/>
      <protection locked="0"/>
    </xf>
    <xf numFmtId="0" fontId="53" fillId="5" borderId="41" xfId="19" applyFont="1" applyFill="1" applyBorder="1" applyAlignment="1" applyProtection="1">
      <alignment horizontal="center" vertical="center" wrapText="1"/>
      <protection locked="0"/>
    </xf>
    <xf numFmtId="0" fontId="53" fillId="5" borderId="49" xfId="19" applyFont="1" applyFill="1" applyBorder="1" applyAlignment="1" applyProtection="1">
      <alignment horizontal="center" vertical="center" wrapText="1"/>
      <protection locked="0"/>
    </xf>
    <xf numFmtId="0" fontId="54" fillId="0" borderId="58" xfId="19" applyFont="1" applyBorder="1" applyAlignment="1">
      <alignment horizontal="left" vertical="center" wrapText="1"/>
    </xf>
    <xf numFmtId="0" fontId="54" fillId="0" borderId="66" xfId="19" applyFont="1" applyBorder="1" applyAlignment="1">
      <alignment horizontal="left" vertical="center" wrapText="1"/>
    </xf>
    <xf numFmtId="174" fontId="0" fillId="0" borderId="0" xfId="0" applyNumberFormat="1" applyAlignment="1">
      <alignment vertical="center" wrapText="1"/>
    </xf>
    <xf numFmtId="0" fontId="53" fillId="7" borderId="52" xfId="19" applyFont="1" applyFill="1" applyBorder="1" applyAlignment="1">
      <alignment horizontal="center" vertical="center" wrapText="1"/>
    </xf>
    <xf numFmtId="0" fontId="53" fillId="7" borderId="63" xfId="19" applyFont="1" applyFill="1" applyBorder="1" applyAlignment="1">
      <alignment horizontal="center" vertical="center" wrapText="1"/>
    </xf>
    <xf numFmtId="0" fontId="54" fillId="0" borderId="59" xfId="0" applyFont="1" applyBorder="1" applyAlignment="1">
      <alignment horizontal="center" vertical="center"/>
    </xf>
    <xf numFmtId="0" fontId="53" fillId="0" borderId="0" xfId="0" applyFont="1"/>
    <xf numFmtId="0" fontId="54" fillId="0" borderId="19" xfId="0" applyFont="1" applyBorder="1" applyAlignment="1">
      <alignment horizontal="center"/>
    </xf>
    <xf numFmtId="0" fontId="61" fillId="0" borderId="11" xfId="19" applyFont="1" applyBorder="1" applyAlignment="1">
      <alignment horizontal="left" vertical="center" wrapText="1"/>
    </xf>
    <xf numFmtId="0" fontId="61" fillId="0" borderId="60" xfId="19" applyFont="1" applyBorder="1" applyAlignment="1">
      <alignment horizontal="left" vertical="center" wrapText="1"/>
    </xf>
    <xf numFmtId="0" fontId="61" fillId="3" borderId="11" xfId="19" applyFont="1" applyFill="1" applyBorder="1" applyAlignment="1">
      <alignment horizontal="left" vertical="center" wrapText="1"/>
    </xf>
    <xf numFmtId="0" fontId="61" fillId="3" borderId="60" xfId="19" applyFont="1" applyFill="1" applyBorder="1" applyAlignment="1">
      <alignment horizontal="left" vertical="center" wrapText="1"/>
    </xf>
    <xf numFmtId="0" fontId="61" fillId="0" borderId="66" xfId="19" applyFont="1" applyBorder="1" applyAlignment="1">
      <alignment horizontal="left" vertical="center" wrapText="1"/>
    </xf>
    <xf numFmtId="0" fontId="61" fillId="0" borderId="64" xfId="19" applyFont="1" applyBorder="1" applyAlignment="1">
      <alignment horizontal="left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57" fillId="7" borderId="8" xfId="6" applyFont="1" applyFill="1" applyBorder="1" applyAlignment="1" applyProtection="1">
      <alignment horizontal="center" vertical="center" wrapText="1"/>
      <protection locked="0"/>
    </xf>
    <xf numFmtId="0" fontId="55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74" fontId="22" fillId="7" borderId="20" xfId="19" applyNumberFormat="1" applyFont="1" applyFill="1" applyBorder="1" applyAlignment="1" applyProtection="1">
      <alignment horizontal="center" vertical="center" wrapText="1"/>
      <protection locked="0"/>
    </xf>
    <xf numFmtId="0" fontId="57" fillId="0" borderId="0" xfId="0" applyFont="1" applyAlignment="1">
      <alignment vertical="center" wrapText="1"/>
    </xf>
    <xf numFmtId="0" fontId="54" fillId="0" borderId="0" xfId="0" applyFont="1" applyAlignment="1">
      <alignment vertical="center" wrapText="1"/>
    </xf>
    <xf numFmtId="0" fontId="54" fillId="0" borderId="0" xfId="0" applyFont="1" applyAlignment="1">
      <alignment horizontal="center" vertical="center" wrapText="1"/>
    </xf>
    <xf numFmtId="0" fontId="53" fillId="0" borderId="19" xfId="0" applyFont="1" applyBorder="1" applyAlignment="1">
      <alignment horizontal="center" vertical="center" wrapText="1"/>
    </xf>
    <xf numFmtId="0" fontId="53" fillId="0" borderId="59" xfId="0" applyFont="1" applyBorder="1" applyAlignment="1">
      <alignment horizontal="center" vertical="center" wrapText="1"/>
    </xf>
    <xf numFmtId="0" fontId="54" fillId="0" borderId="19" xfId="0" applyFont="1" applyBorder="1" applyAlignment="1">
      <alignment horizontal="center" vertical="center" wrapText="1"/>
    </xf>
    <xf numFmtId="0" fontId="54" fillId="0" borderId="59" xfId="0" applyFont="1" applyBorder="1" applyAlignment="1">
      <alignment horizontal="center" vertical="center" wrapText="1"/>
    </xf>
    <xf numFmtId="0" fontId="54" fillId="0" borderId="0" xfId="0" applyFont="1" applyAlignment="1">
      <alignment horizontal="left" vertical="center" wrapText="1"/>
    </xf>
    <xf numFmtId="0" fontId="53" fillId="0" borderId="0" xfId="0" applyFont="1" applyAlignment="1">
      <alignment vertical="center" wrapText="1"/>
    </xf>
    <xf numFmtId="0" fontId="57" fillId="0" borderId="19" xfId="0" applyFont="1" applyBorder="1" applyAlignment="1">
      <alignment horizontal="center" vertical="center" wrapText="1"/>
    </xf>
    <xf numFmtId="0" fontId="57" fillId="0" borderId="59" xfId="0" applyFont="1" applyBorder="1" applyAlignment="1">
      <alignment horizontal="center" vertical="center" wrapText="1"/>
    </xf>
    <xf numFmtId="0" fontId="58" fillId="0" borderId="31" xfId="0" applyFont="1" applyBorder="1" applyAlignment="1">
      <alignment horizontal="center" vertical="center" wrapText="1"/>
    </xf>
    <xf numFmtId="0" fontId="58" fillId="0" borderId="0" xfId="0" applyFont="1" applyAlignment="1">
      <alignment vertical="center" wrapText="1"/>
    </xf>
    <xf numFmtId="0" fontId="54" fillId="0" borderId="50" xfId="0" applyFont="1" applyBorder="1" applyAlignment="1">
      <alignment horizontal="center" vertical="center" wrapText="1"/>
    </xf>
    <xf numFmtId="0" fontId="53" fillId="0" borderId="0" xfId="0" applyFont="1" applyAlignment="1">
      <alignment horizontal="center" vertical="center" wrapText="1"/>
    </xf>
    <xf numFmtId="0" fontId="54" fillId="0" borderId="19" xfId="0" applyFont="1" applyBorder="1" applyAlignment="1">
      <alignment vertical="center" wrapText="1"/>
    </xf>
    <xf numFmtId="0" fontId="58" fillId="0" borderId="19" xfId="0" applyFont="1" applyBorder="1" applyAlignment="1">
      <alignment horizontal="center" vertical="center" wrapText="1"/>
    </xf>
    <xf numFmtId="0" fontId="58" fillId="0" borderId="59" xfId="0" applyFont="1" applyBorder="1" applyAlignment="1">
      <alignment horizontal="center" vertical="center" wrapText="1"/>
    </xf>
    <xf numFmtId="0" fontId="57" fillId="0" borderId="31" xfId="0" applyFont="1" applyBorder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57" fillId="0" borderId="0" xfId="0" applyFont="1" applyAlignment="1">
      <alignment horizontal="center" vertical="center" wrapText="1"/>
    </xf>
    <xf numFmtId="0" fontId="54" fillId="7" borderId="36" xfId="0" applyFont="1" applyFill="1" applyBorder="1" applyAlignment="1">
      <alignment horizontal="center" vertical="center" wrapText="1"/>
    </xf>
    <xf numFmtId="0" fontId="53" fillId="7" borderId="40" xfId="0" applyFont="1" applyFill="1" applyBorder="1" applyAlignment="1">
      <alignment horizontal="center" vertical="center" wrapText="1"/>
    </xf>
    <xf numFmtId="0" fontId="53" fillId="7" borderId="36" xfId="0" applyFont="1" applyFill="1" applyBorder="1" applyAlignment="1">
      <alignment horizontal="center" vertical="center" wrapText="1"/>
    </xf>
    <xf numFmtId="0" fontId="53" fillId="7" borderId="37" xfId="0" applyFont="1" applyFill="1" applyBorder="1" applyAlignment="1">
      <alignment horizontal="center" vertical="center" wrapText="1"/>
    </xf>
    <xf numFmtId="0" fontId="53" fillId="7" borderId="38" xfId="0" applyFont="1" applyFill="1" applyBorder="1" applyAlignment="1">
      <alignment horizontal="center" vertical="center" wrapText="1"/>
    </xf>
    <xf numFmtId="0" fontId="57" fillId="0" borderId="11" xfId="0" applyFont="1" applyBorder="1" applyAlignment="1">
      <alignment horizontal="center" vertical="center" wrapText="1"/>
    </xf>
    <xf numFmtId="0" fontId="53" fillId="5" borderId="60" xfId="19" applyFont="1" applyFill="1" applyBorder="1" applyAlignment="1" applyProtection="1">
      <alignment horizontal="center" vertical="center" wrapText="1"/>
      <protection locked="0"/>
    </xf>
    <xf numFmtId="0" fontId="57" fillId="0" borderId="56" xfId="0" applyFont="1" applyBorder="1" applyAlignment="1">
      <alignment horizontal="center" vertical="center" wrapText="1"/>
    </xf>
    <xf numFmtId="0" fontId="57" fillId="0" borderId="53" xfId="0" applyFont="1" applyBorder="1" applyAlignment="1">
      <alignment horizontal="center" vertical="center" wrapText="1"/>
    </xf>
    <xf numFmtId="0" fontId="60" fillId="0" borderId="56" xfId="0" applyFont="1" applyBorder="1" applyAlignment="1">
      <alignment horizontal="center" vertical="center" wrapText="1"/>
    </xf>
    <xf numFmtId="0" fontId="60" fillId="0" borderId="52" xfId="0" applyFont="1" applyBorder="1" applyAlignment="1">
      <alignment horizontal="center" vertical="center" wrapText="1"/>
    </xf>
    <xf numFmtId="0" fontId="60" fillId="0" borderId="53" xfId="0" applyFont="1" applyBorder="1" applyAlignment="1">
      <alignment horizontal="center" vertical="center" wrapText="1"/>
    </xf>
    <xf numFmtId="0" fontId="53" fillId="0" borderId="84" xfId="0" applyFont="1" applyBorder="1" applyAlignment="1">
      <alignment horizontal="center" vertical="center" wrapText="1"/>
    </xf>
    <xf numFmtId="0" fontId="53" fillId="0" borderId="53" xfId="0" applyFont="1" applyBorder="1" applyAlignment="1">
      <alignment horizontal="center" vertical="center" wrapText="1"/>
    </xf>
    <xf numFmtId="175" fontId="56" fillId="7" borderId="53" xfId="21" applyNumberFormat="1" applyFont="1" applyFill="1" applyBorder="1" applyAlignment="1" applyProtection="1">
      <alignment horizontal="center" vertical="center" wrapText="1"/>
    </xf>
    <xf numFmtId="175" fontId="53" fillId="7" borderId="53" xfId="21" applyNumberFormat="1" applyFont="1" applyFill="1" applyBorder="1" applyAlignment="1" applyProtection="1">
      <alignment horizontal="center" vertical="center" wrapText="1"/>
    </xf>
    <xf numFmtId="175" fontId="53" fillId="7" borderId="56" xfId="21" applyNumberFormat="1" applyFont="1" applyFill="1" applyBorder="1" applyAlignment="1" applyProtection="1">
      <alignment horizontal="center" vertical="center" wrapText="1"/>
    </xf>
    <xf numFmtId="175" fontId="53" fillId="7" borderId="20" xfId="21" applyNumberFormat="1" applyFont="1" applyFill="1" applyBorder="1" applyAlignment="1" applyProtection="1">
      <alignment horizontal="center" vertical="center" wrapText="1"/>
    </xf>
    <xf numFmtId="175" fontId="22" fillId="7" borderId="53" xfId="21" applyNumberFormat="1" applyFont="1" applyFill="1" applyBorder="1" applyAlignment="1" applyProtection="1">
      <alignment horizontal="center" vertical="center" wrapText="1"/>
      <protection locked="0"/>
    </xf>
    <xf numFmtId="175" fontId="0" fillId="0" borderId="0" xfId="21" applyNumberFormat="1" applyFont="1" applyAlignment="1">
      <alignment vertical="center" wrapText="1"/>
    </xf>
    <xf numFmtId="3" fontId="66" fillId="0" borderId="32" xfId="0" applyNumberFormat="1" applyFont="1" applyBorder="1" applyAlignment="1">
      <alignment horizontal="center" vertical="center" wrapText="1"/>
    </xf>
    <xf numFmtId="3" fontId="66" fillId="0" borderId="6" xfId="0" applyNumberFormat="1" applyFont="1" applyBorder="1" applyAlignment="1">
      <alignment horizontal="center" vertical="center" wrapText="1"/>
    </xf>
    <xf numFmtId="3" fontId="66" fillId="0" borderId="90" xfId="0" applyNumberFormat="1" applyFont="1" applyBorder="1" applyAlignment="1">
      <alignment horizontal="center" vertical="center" wrapText="1"/>
    </xf>
    <xf numFmtId="3" fontId="66" fillId="0" borderId="33" xfId="0" applyNumberFormat="1" applyFont="1" applyBorder="1" applyAlignment="1">
      <alignment horizontal="center" vertical="center" wrapText="1"/>
    </xf>
    <xf numFmtId="3" fontId="66" fillId="0" borderId="9" xfId="0" applyNumberFormat="1" applyFont="1" applyBorder="1" applyAlignment="1">
      <alignment horizontal="center" vertical="center" wrapText="1"/>
    </xf>
    <xf numFmtId="3" fontId="66" fillId="0" borderId="1" xfId="0" applyNumberFormat="1" applyFont="1" applyBorder="1" applyAlignment="1">
      <alignment horizontal="center" vertical="center" wrapText="1"/>
    </xf>
    <xf numFmtId="3" fontId="66" fillId="0" borderId="5" xfId="0" applyNumberFormat="1" applyFont="1" applyBorder="1" applyAlignment="1">
      <alignment horizontal="center" vertical="center" wrapText="1"/>
    </xf>
    <xf numFmtId="3" fontId="66" fillId="0" borderId="77" xfId="0" applyNumberFormat="1" applyFont="1" applyBorder="1" applyAlignment="1">
      <alignment horizontal="center" vertical="center" wrapText="1"/>
    </xf>
    <xf numFmtId="0" fontId="67" fillId="0" borderId="0" xfId="0" applyFont="1"/>
    <xf numFmtId="3" fontId="11" fillId="0" borderId="32" xfId="0" applyNumberFormat="1" applyFont="1" applyBorder="1" applyAlignment="1">
      <alignment horizontal="center" vertical="center" wrapText="1"/>
    </xf>
    <xf numFmtId="3" fontId="11" fillId="0" borderId="34" xfId="0" applyNumberFormat="1" applyFont="1" applyBorder="1" applyAlignment="1">
      <alignment horizontal="center" vertical="center" wrapText="1"/>
    </xf>
    <xf numFmtId="3" fontId="11" fillId="0" borderId="9" xfId="0" applyNumberFormat="1" applyFont="1" applyBorder="1" applyAlignment="1">
      <alignment horizontal="center" vertical="center" wrapText="1"/>
    </xf>
    <xf numFmtId="3" fontId="24" fillId="0" borderId="0" xfId="0" applyNumberFormat="1" applyFont="1" applyAlignment="1">
      <alignment horizontal="center" vertical="center" wrapText="1"/>
    </xf>
    <xf numFmtId="3" fontId="24" fillId="3" borderId="0" xfId="0" applyNumberFormat="1" applyFont="1" applyFill="1" applyAlignment="1">
      <alignment horizontal="center" vertical="center" wrapText="1"/>
    </xf>
    <xf numFmtId="3" fontId="24" fillId="3" borderId="45" xfId="0" applyNumberFormat="1" applyFont="1" applyFill="1" applyBorder="1" applyAlignment="1">
      <alignment horizontal="center" vertical="center" wrapText="1"/>
    </xf>
    <xf numFmtId="165" fontId="66" fillId="0" borderId="15" xfId="21" applyFont="1" applyBorder="1" applyAlignment="1" applyProtection="1">
      <alignment horizontal="center" vertical="center" wrapText="1"/>
    </xf>
    <xf numFmtId="3" fontId="66" fillId="0" borderId="15" xfId="0" applyNumberFormat="1" applyFont="1" applyBorder="1" applyAlignment="1">
      <alignment horizontal="center" vertical="center" wrapText="1"/>
    </xf>
    <xf numFmtId="0" fontId="23" fillId="3" borderId="15" xfId="6" applyFont="1" applyFill="1" applyBorder="1" applyAlignment="1" applyProtection="1">
      <alignment horizontal="center" vertical="center" wrapText="1"/>
      <protection locked="0"/>
    </xf>
    <xf numFmtId="0" fontId="23" fillId="3" borderId="1" xfId="6" applyFont="1" applyFill="1" applyBorder="1" applyAlignment="1" applyProtection="1">
      <alignment horizontal="center" vertical="center" wrapText="1"/>
      <protection locked="0"/>
    </xf>
    <xf numFmtId="165" fontId="66" fillId="0" borderId="1" xfId="21" applyFont="1" applyBorder="1" applyAlignment="1" applyProtection="1">
      <alignment horizontal="center" vertical="center" wrapText="1"/>
    </xf>
    <xf numFmtId="165" fontId="24" fillId="3" borderId="1" xfId="21" applyFont="1" applyFill="1" applyBorder="1" applyAlignment="1" applyProtection="1">
      <alignment horizontal="center" vertical="center" wrapText="1"/>
    </xf>
    <xf numFmtId="165" fontId="24" fillId="8" borderId="1" xfId="21" applyFont="1" applyFill="1" applyBorder="1" applyAlignment="1" applyProtection="1">
      <alignment horizontal="center" vertical="center" wrapText="1"/>
    </xf>
    <xf numFmtId="0" fontId="69" fillId="0" borderId="0" xfId="6" applyFont="1" applyAlignment="1" applyProtection="1">
      <alignment vertical="center" wrapText="1"/>
      <protection locked="0"/>
    </xf>
    <xf numFmtId="165" fontId="0" fillId="0" borderId="15" xfId="21" applyFont="1" applyBorder="1" applyAlignment="1" applyProtection="1">
      <alignment vertical="center" wrapText="1"/>
      <protection locked="0"/>
    </xf>
    <xf numFmtId="165" fontId="66" fillId="0" borderId="81" xfId="21" applyFont="1" applyBorder="1" applyAlignment="1" applyProtection="1">
      <alignment horizontal="center" vertical="center" wrapText="1"/>
    </xf>
    <xf numFmtId="165" fontId="0" fillId="0" borderId="1" xfId="21" applyFont="1" applyBorder="1" applyAlignment="1" applyProtection="1">
      <alignment vertical="center" wrapText="1"/>
      <protection locked="0"/>
    </xf>
    <xf numFmtId="165" fontId="66" fillId="0" borderId="77" xfId="21" applyFont="1" applyBorder="1" applyAlignment="1" applyProtection="1">
      <alignment horizontal="center" vertical="center" wrapText="1"/>
    </xf>
    <xf numFmtId="3" fontId="43" fillId="3" borderId="8" xfId="0" applyNumberFormat="1" applyFont="1" applyFill="1" applyBorder="1" applyAlignment="1">
      <alignment horizontal="center" vertical="center" wrapText="1"/>
    </xf>
    <xf numFmtId="165" fontId="16" fillId="0" borderId="20" xfId="21" applyFont="1" applyBorder="1" applyAlignment="1" applyProtection="1">
      <alignment vertical="center" wrapText="1"/>
      <protection locked="0"/>
    </xf>
    <xf numFmtId="165" fontId="16" fillId="0" borderId="45" xfId="21" applyFont="1" applyBorder="1" applyAlignment="1" applyProtection="1">
      <alignment vertical="center" wrapText="1"/>
      <protection locked="0"/>
    </xf>
    <xf numFmtId="165" fontId="16" fillId="0" borderId="41" xfId="21" applyFont="1" applyBorder="1" applyAlignment="1" applyProtection="1">
      <alignment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3" fontId="43" fillId="3" borderId="0" xfId="0" applyNumberFormat="1" applyFont="1" applyFill="1" applyAlignment="1">
      <alignment horizontal="center" vertical="center" wrapText="1"/>
    </xf>
    <xf numFmtId="165" fontId="16" fillId="0" borderId="0" xfId="21" applyFont="1" applyBorder="1" applyAlignment="1" applyProtection="1">
      <alignment vertical="center" wrapText="1"/>
      <protection locked="0"/>
    </xf>
    <xf numFmtId="0" fontId="19" fillId="0" borderId="0" xfId="6" applyFont="1" applyAlignment="1" applyProtection="1">
      <alignment vertical="center" wrapText="1"/>
      <protection locked="0"/>
    </xf>
    <xf numFmtId="165" fontId="24" fillId="3" borderId="45" xfId="21" applyFont="1" applyFill="1" applyBorder="1" applyAlignment="1" applyProtection="1">
      <alignment horizontal="center" vertical="center" wrapText="1"/>
    </xf>
    <xf numFmtId="165" fontId="24" fillId="3" borderId="20" xfId="21" applyFont="1" applyFill="1" applyBorder="1" applyAlignment="1" applyProtection="1">
      <alignment horizontal="center" vertical="center" wrapText="1"/>
    </xf>
    <xf numFmtId="3" fontId="24" fillId="3" borderId="17" xfId="0" applyNumberFormat="1" applyFont="1" applyFill="1" applyBorder="1" applyAlignment="1">
      <alignment horizontal="center" vertical="center" wrapText="1"/>
    </xf>
    <xf numFmtId="0" fontId="23" fillId="0" borderId="15" xfId="6" applyFont="1" applyBorder="1" applyAlignment="1" applyProtection="1">
      <alignment horizontal="center" vertical="center" wrapText="1"/>
      <protection locked="0"/>
    </xf>
    <xf numFmtId="0" fontId="23" fillId="0" borderId="1" xfId="6" applyFont="1" applyBorder="1" applyAlignment="1" applyProtection="1">
      <alignment horizontal="center" vertical="center" wrapText="1"/>
      <protection locked="0"/>
    </xf>
    <xf numFmtId="0" fontId="23" fillId="0" borderId="17" xfId="6" applyFont="1" applyBorder="1" applyAlignment="1" applyProtection="1">
      <alignment horizontal="center" vertical="center" wrapText="1"/>
      <protection locked="0"/>
    </xf>
    <xf numFmtId="165" fontId="66" fillId="0" borderId="17" xfId="21" applyFont="1" applyBorder="1" applyAlignment="1" applyProtection="1">
      <alignment horizontal="center" vertical="center" wrapText="1"/>
    </xf>
    <xf numFmtId="165" fontId="66" fillId="0" borderId="82" xfId="21" applyFont="1" applyBorder="1" applyAlignment="1" applyProtection="1">
      <alignment horizontal="center" vertical="center" wrapText="1"/>
    </xf>
    <xf numFmtId="0" fontId="70" fillId="0" borderId="8" xfId="0" applyFont="1" applyBorder="1" applyAlignment="1">
      <alignment horizontal="center" vertical="center" wrapText="1"/>
    </xf>
    <xf numFmtId="0" fontId="70" fillId="0" borderId="20" xfId="0" applyFont="1" applyBorder="1" applyAlignment="1">
      <alignment horizontal="center" vertical="center" wrapText="1"/>
    </xf>
    <xf numFmtId="0" fontId="70" fillId="3" borderId="41" xfId="0" applyFont="1" applyFill="1" applyBorder="1" applyAlignment="1">
      <alignment horizontal="center" vertical="center" wrapText="1"/>
    </xf>
    <xf numFmtId="0" fontId="23" fillId="8" borderId="1" xfId="6" applyFont="1" applyFill="1" applyBorder="1" applyAlignment="1" applyProtection="1">
      <alignment horizontal="center" vertical="center" wrapText="1"/>
      <protection locked="0"/>
    </xf>
    <xf numFmtId="165" fontId="66" fillId="8" borderId="1" xfId="21" applyFont="1" applyFill="1" applyBorder="1" applyAlignment="1" applyProtection="1">
      <alignment horizontal="center" vertical="center" wrapText="1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65" fontId="0" fillId="8" borderId="1" xfId="21" applyFont="1" applyFill="1" applyBorder="1" applyAlignment="1" applyProtection="1">
      <alignment vertical="center" wrapText="1"/>
      <protection locked="0"/>
    </xf>
    <xf numFmtId="165" fontId="66" fillId="8" borderId="77" xfId="21" applyFont="1" applyFill="1" applyBorder="1" applyAlignment="1" applyProtection="1">
      <alignment horizontal="center" vertical="center" wrapText="1"/>
    </xf>
    <xf numFmtId="165" fontId="0" fillId="0" borderId="0" xfId="0" applyNumberFormat="1" applyAlignment="1" applyProtection="1">
      <alignment vertical="center" wrapText="1"/>
      <protection locked="0"/>
    </xf>
    <xf numFmtId="165" fontId="0" fillId="0" borderId="0" xfId="21" applyFont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65" fontId="72" fillId="0" borderId="13" xfId="21" applyFont="1" applyBorder="1" applyAlignment="1">
      <alignment horizontal="center" vertical="center" textRotation="90" wrapText="1"/>
    </xf>
    <xf numFmtId="165" fontId="54" fillId="0" borderId="19" xfId="21" applyFont="1" applyBorder="1" applyAlignment="1">
      <alignment horizontal="center" vertical="center" wrapText="1"/>
    </xf>
    <xf numFmtId="165" fontId="57" fillId="0" borderId="19" xfId="21" applyFont="1" applyBorder="1" applyAlignment="1">
      <alignment horizontal="center" vertical="center" wrapText="1"/>
    </xf>
    <xf numFmtId="165" fontId="58" fillId="0" borderId="19" xfId="21" applyFont="1" applyBorder="1" applyAlignment="1">
      <alignment horizontal="center" vertical="center" wrapText="1"/>
    </xf>
    <xf numFmtId="165" fontId="54" fillId="0" borderId="0" xfId="21" applyFont="1" applyAlignment="1">
      <alignment vertical="center" wrapText="1"/>
    </xf>
    <xf numFmtId="165" fontId="2" fillId="0" borderId="13" xfId="21" applyFont="1" applyBorder="1" applyAlignment="1">
      <alignment horizontal="center" vertical="center" textRotation="90" wrapText="1"/>
    </xf>
    <xf numFmtId="165" fontId="53" fillId="7" borderId="37" xfId="21" applyFont="1" applyFill="1" applyBorder="1" applyAlignment="1">
      <alignment horizontal="center" vertical="center" wrapText="1"/>
    </xf>
    <xf numFmtId="165" fontId="0" fillId="0" borderId="0" xfId="21" applyFont="1" applyAlignment="1">
      <alignment vertical="center" wrapText="1"/>
    </xf>
    <xf numFmtId="165" fontId="56" fillId="7" borderId="52" xfId="21" applyFont="1" applyFill="1" applyBorder="1" applyAlignment="1" applyProtection="1">
      <alignment horizontal="center" vertical="center" wrapText="1"/>
    </xf>
    <xf numFmtId="165" fontId="53" fillId="7" borderId="52" xfId="21" applyFont="1" applyFill="1" applyBorder="1" applyAlignment="1" applyProtection="1">
      <alignment horizontal="center" vertical="center" wrapText="1"/>
    </xf>
    <xf numFmtId="165" fontId="53" fillId="7" borderId="56" xfId="21" applyFont="1" applyFill="1" applyBorder="1" applyAlignment="1" applyProtection="1">
      <alignment horizontal="center" vertical="center" wrapText="1"/>
    </xf>
    <xf numFmtId="0" fontId="54" fillId="8" borderId="59" xfId="0" applyFont="1" applyFill="1" applyBorder="1" applyAlignment="1">
      <alignment horizontal="center" vertical="center" wrapText="1"/>
    </xf>
    <xf numFmtId="165" fontId="54" fillId="0" borderId="19" xfId="0" applyNumberFormat="1" applyFont="1" applyBorder="1" applyAlignment="1">
      <alignment horizontal="center" vertical="center" wrapText="1"/>
    </xf>
    <xf numFmtId="0" fontId="54" fillId="0" borderId="31" xfId="0" applyFont="1" applyBorder="1" applyAlignment="1">
      <alignment horizontal="center" vertical="center" wrapText="1"/>
    </xf>
    <xf numFmtId="0" fontId="53" fillId="7" borderId="38" xfId="0" applyFont="1" applyFill="1" applyBorder="1" applyAlignment="1">
      <alignment horizontal="right" vertical="center" wrapText="1"/>
    </xf>
    <xf numFmtId="0" fontId="40" fillId="0" borderId="19" xfId="0" applyFont="1" applyBorder="1" applyAlignment="1">
      <alignment horizontal="left" vertical="top"/>
    </xf>
    <xf numFmtId="0" fontId="8" fillId="0" borderId="19" xfId="0" applyFont="1" applyBorder="1" applyAlignment="1">
      <alignment horizontal="center" vertical="center"/>
    </xf>
    <xf numFmtId="0" fontId="74" fillId="0" borderId="19" xfId="0" applyFont="1" applyBorder="1" applyAlignment="1">
      <alignment horizontal="left" vertical="center" wrapText="1"/>
    </xf>
    <xf numFmtId="0" fontId="40" fillId="0" borderId="19" xfId="0" applyFont="1" applyBorder="1" applyAlignment="1">
      <alignment horizontal="left" vertical="top" wrapText="1"/>
    </xf>
    <xf numFmtId="0" fontId="40" fillId="0" borderId="0" xfId="0" applyFont="1" applyAlignment="1">
      <alignment horizontal="center"/>
    </xf>
    <xf numFmtId="0" fontId="40" fillId="0" borderId="19" xfId="0" applyFont="1" applyBorder="1" applyAlignment="1">
      <alignment horizontal="left" vertical="center"/>
    </xf>
    <xf numFmtId="0" fontId="40" fillId="0" borderId="19" xfId="0" applyFont="1" applyBorder="1" applyAlignment="1">
      <alignment horizontal="left" vertical="center" wrapText="1"/>
    </xf>
    <xf numFmtId="0" fontId="40" fillId="0" borderId="19" xfId="0" applyFont="1" applyBorder="1" applyAlignment="1">
      <alignment horizontal="left"/>
    </xf>
    <xf numFmtId="0" fontId="40" fillId="0" borderId="19" xfId="0" applyFont="1" applyBorder="1"/>
    <xf numFmtId="0" fontId="74" fillId="0" borderId="19" xfId="0" applyFont="1" applyBorder="1"/>
    <xf numFmtId="0" fontId="76" fillId="0" borderId="68" xfId="0" applyFont="1" applyBorder="1" applyAlignment="1">
      <alignment horizontal="center" vertical="center" wrapText="1"/>
    </xf>
    <xf numFmtId="0" fontId="76" fillId="0" borderId="63" xfId="0" applyFont="1" applyBorder="1" applyAlignment="1">
      <alignment horizontal="center" vertical="center" wrapText="1"/>
    </xf>
    <xf numFmtId="175" fontId="76" fillId="0" borderId="64" xfId="21" applyNumberFormat="1" applyFont="1" applyBorder="1" applyAlignment="1">
      <alignment horizontal="center" vertical="center" wrapText="1"/>
    </xf>
    <xf numFmtId="0" fontId="77" fillId="0" borderId="59" xfId="0" applyFont="1" applyBorder="1" applyAlignment="1">
      <alignment horizontal="center" vertical="center" wrapText="1"/>
    </xf>
    <xf numFmtId="175" fontId="54" fillId="0" borderId="19" xfId="21" applyNumberFormat="1" applyFont="1" applyBorder="1" applyAlignment="1">
      <alignment horizontal="center" vertical="center" wrapText="1"/>
    </xf>
    <xf numFmtId="0" fontId="40" fillId="0" borderId="19" xfId="0" applyFont="1" applyBorder="1" applyAlignment="1">
      <alignment wrapText="1"/>
    </xf>
    <xf numFmtId="165" fontId="76" fillId="0" borderId="63" xfId="21" applyFont="1" applyBorder="1" applyAlignment="1">
      <alignment horizontal="center" vertical="center" wrapText="1"/>
    </xf>
    <xf numFmtId="165" fontId="0" fillId="0" borderId="0" xfId="21" applyFont="1" applyBorder="1" applyAlignment="1">
      <alignment vertical="center" wrapText="1"/>
    </xf>
    <xf numFmtId="0" fontId="39" fillId="0" borderId="19" xfId="0" applyFont="1" applyBorder="1" applyAlignment="1">
      <alignment horizontal="left" vertical="top"/>
    </xf>
    <xf numFmtId="165" fontId="22" fillId="7" borderId="20" xfId="21" applyFont="1" applyFill="1" applyBorder="1" applyAlignment="1" applyProtection="1">
      <alignment horizontal="center" vertical="center" wrapText="1"/>
      <protection locked="0"/>
    </xf>
    <xf numFmtId="0" fontId="62" fillId="0" borderId="11" xfId="0" applyFont="1" applyBorder="1" applyAlignment="1">
      <alignment horizontal="center" vertical="center" wrapText="1"/>
    </xf>
    <xf numFmtId="0" fontId="62" fillId="0" borderId="26" xfId="0" applyFont="1" applyBorder="1" applyAlignment="1">
      <alignment horizontal="center" vertical="center" wrapText="1"/>
    </xf>
    <xf numFmtId="0" fontId="71" fillId="0" borderId="0" xfId="0" applyFont="1" applyAlignment="1">
      <alignment vertical="center" wrapText="1"/>
    </xf>
    <xf numFmtId="0" fontId="53" fillId="0" borderId="0" xfId="0" applyFont="1" applyAlignment="1">
      <alignment horizontal="left" vertical="center" wrapText="1"/>
    </xf>
    <xf numFmtId="0" fontId="58" fillId="0" borderId="14" xfId="19" applyFont="1" applyBorder="1" applyAlignment="1">
      <alignment horizontal="left" vertical="center" wrapText="1"/>
    </xf>
    <xf numFmtId="0" fontId="58" fillId="0" borderId="9" xfId="19" applyFont="1" applyBorder="1" applyAlignment="1">
      <alignment horizontal="left" vertical="center" wrapText="1"/>
    </xf>
    <xf numFmtId="0" fontId="58" fillId="0" borderId="9" xfId="19" applyFont="1" applyBorder="1" applyAlignment="1" applyProtection="1">
      <alignment horizontal="left" vertical="center" wrapText="1"/>
      <protection locked="0"/>
    </xf>
    <xf numFmtId="165" fontId="56" fillId="7" borderId="55" xfId="21" applyFont="1" applyFill="1" applyBorder="1" applyAlignment="1" applyProtection="1">
      <alignment horizontal="center" vertical="center" wrapText="1"/>
    </xf>
    <xf numFmtId="165" fontId="53" fillId="7" borderId="55" xfId="21" applyFont="1" applyFill="1" applyBorder="1" applyAlignment="1" applyProtection="1">
      <alignment horizontal="center" vertical="center" wrapText="1"/>
    </xf>
    <xf numFmtId="165" fontId="22" fillId="7" borderId="41" xfId="21" applyFont="1" applyFill="1" applyBorder="1" applyAlignment="1" applyProtection="1">
      <alignment horizontal="center" vertical="center" wrapText="1"/>
      <protection locked="0"/>
    </xf>
    <xf numFmtId="175" fontId="10" fillId="0" borderId="12" xfId="21" applyNumberFormat="1" applyFont="1" applyBorder="1" applyAlignment="1">
      <alignment horizontal="center" vertical="center" textRotation="90" wrapText="1"/>
    </xf>
    <xf numFmtId="175" fontId="10" fillId="0" borderId="70" xfId="21" applyNumberFormat="1" applyFont="1" applyBorder="1" applyAlignment="1">
      <alignment horizontal="center" vertical="center" textRotation="90" wrapText="1"/>
    </xf>
    <xf numFmtId="175" fontId="63" fillId="3" borderId="9" xfId="21" applyNumberFormat="1" applyFont="1" applyFill="1" applyBorder="1" applyAlignment="1" applyProtection="1">
      <alignment horizontal="center" vertical="center" wrapText="1"/>
      <protection locked="0"/>
    </xf>
    <xf numFmtId="175" fontId="25" fillId="3" borderId="9" xfId="21" applyNumberFormat="1" applyFont="1" applyFill="1" applyBorder="1" applyAlignment="1" applyProtection="1">
      <alignment horizontal="center" vertical="center" wrapText="1"/>
      <protection locked="0"/>
    </xf>
    <xf numFmtId="175" fontId="10" fillId="4" borderId="12" xfId="21" applyNumberFormat="1" applyFont="1" applyFill="1" applyBorder="1" applyAlignment="1">
      <alignment horizontal="center" vertical="center" textRotation="90" wrapText="1"/>
    </xf>
    <xf numFmtId="175" fontId="10" fillId="4" borderId="70" xfId="21" applyNumberFormat="1" applyFont="1" applyFill="1" applyBorder="1" applyAlignment="1">
      <alignment horizontal="center" vertical="center" textRotation="90" wrapText="1"/>
    </xf>
    <xf numFmtId="3" fontId="63" fillId="4" borderId="43" xfId="0" applyNumberFormat="1" applyFont="1" applyFill="1" applyBorder="1" applyAlignment="1" applyProtection="1">
      <alignment horizontal="center" vertical="center" wrapText="1"/>
      <protection locked="0"/>
    </xf>
    <xf numFmtId="3" fontId="63" fillId="3" borderId="0" xfId="0" applyNumberFormat="1" applyFont="1" applyFill="1" applyAlignment="1" applyProtection="1">
      <alignment horizontal="center" vertical="center" wrapText="1"/>
      <protection locked="0"/>
    </xf>
    <xf numFmtId="175" fontId="85" fillId="0" borderId="12" xfId="21" applyNumberFormat="1" applyFont="1" applyBorder="1" applyAlignment="1">
      <alignment horizontal="center" vertical="center" textRotation="90" wrapText="1"/>
    </xf>
    <xf numFmtId="165" fontId="16" fillId="4" borderId="12" xfId="21" applyFont="1" applyFill="1" applyBorder="1" applyAlignment="1">
      <alignment horizontal="center" vertical="center" wrapText="1"/>
    </xf>
    <xf numFmtId="0" fontId="53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53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3" fontId="25" fillId="3" borderId="0" xfId="0" applyNumberFormat="1" applyFont="1" applyFill="1" applyAlignment="1" applyProtection="1">
      <alignment horizontal="center" vertical="center" wrapText="1"/>
      <protection locked="0"/>
    </xf>
    <xf numFmtId="3" fontId="25" fillId="4" borderId="43" xfId="0" applyNumberFormat="1" applyFont="1" applyFill="1" applyBorder="1" applyAlignment="1" applyProtection="1">
      <alignment horizontal="center" vertical="center" wrapText="1"/>
      <protection locked="0"/>
    </xf>
    <xf numFmtId="0" fontId="53" fillId="4" borderId="19" xfId="0" applyFont="1" applyFill="1" applyBorder="1" applyAlignment="1">
      <alignment vertical="center" wrapText="1"/>
    </xf>
    <xf numFmtId="0" fontId="53" fillId="0" borderId="18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left" vertical="top"/>
    </xf>
    <xf numFmtId="0" fontId="8" fillId="0" borderId="6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175" fontId="25" fillId="3" borderId="34" xfId="21" applyNumberFormat="1" applyFont="1" applyFill="1" applyBorder="1" applyAlignment="1" applyProtection="1">
      <alignment horizontal="center" vertical="center" wrapText="1"/>
      <protection locked="0"/>
    </xf>
    <xf numFmtId="0" fontId="53" fillId="4" borderId="56" xfId="0" applyFont="1" applyFill="1" applyBorder="1" applyAlignment="1">
      <alignment vertical="center" wrapText="1"/>
    </xf>
    <xf numFmtId="0" fontId="53" fillId="4" borderId="52" xfId="0" applyFont="1" applyFill="1" applyBorder="1" applyAlignment="1">
      <alignment horizontal="center" vertical="center" wrapText="1"/>
    </xf>
    <xf numFmtId="0" fontId="53" fillId="4" borderId="8" xfId="0" applyFont="1" applyFill="1" applyBorder="1" applyAlignment="1">
      <alignment horizontal="center" vertical="center" wrapText="1"/>
    </xf>
    <xf numFmtId="3" fontId="53" fillId="4" borderId="12" xfId="0" applyNumberFormat="1" applyFont="1" applyFill="1" applyBorder="1" applyAlignment="1">
      <alignment horizontal="center" vertical="center" wrapText="1"/>
    </xf>
    <xf numFmtId="3" fontId="53" fillId="4" borderId="20" xfId="0" applyNumberFormat="1" applyFont="1" applyFill="1" applyBorder="1" applyAlignment="1">
      <alignment horizontal="center" vertical="center" wrapText="1"/>
    </xf>
    <xf numFmtId="0" fontId="53" fillId="0" borderId="65" xfId="0" applyFont="1" applyBorder="1" applyAlignment="1">
      <alignment horizontal="center" vertical="center" wrapText="1"/>
    </xf>
    <xf numFmtId="0" fontId="39" fillId="0" borderId="65" xfId="0" applyFont="1" applyBorder="1" applyAlignment="1">
      <alignment horizontal="left" vertical="top"/>
    </xf>
    <xf numFmtId="0" fontId="53" fillId="0" borderId="26" xfId="0" applyFont="1" applyBorder="1" applyAlignment="1">
      <alignment horizontal="center" vertical="center" wrapText="1"/>
    </xf>
    <xf numFmtId="0" fontId="53" fillId="0" borderId="32" xfId="0" applyFont="1" applyBorder="1" applyAlignment="1">
      <alignment horizontal="center" vertical="center" wrapText="1"/>
    </xf>
    <xf numFmtId="175" fontId="63" fillId="3" borderId="32" xfId="21" applyNumberFormat="1" applyFont="1" applyFill="1" applyBorder="1" applyAlignment="1" applyProtection="1">
      <alignment horizontal="center" vertical="center" wrapText="1"/>
      <protection locked="0"/>
    </xf>
    <xf numFmtId="0" fontId="40" fillId="0" borderId="65" xfId="0" applyFont="1" applyBorder="1" applyAlignment="1">
      <alignment horizontal="left" vertical="center"/>
    </xf>
    <xf numFmtId="0" fontId="54" fillId="0" borderId="30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/>
    </xf>
    <xf numFmtId="0" fontId="53" fillId="4" borderId="18" xfId="0" applyFont="1" applyFill="1" applyBorder="1" applyAlignment="1">
      <alignment horizontal="center" vertical="center" wrapText="1"/>
    </xf>
    <xf numFmtId="0" fontId="53" fillId="4" borderId="61" xfId="0" applyFont="1" applyFill="1" applyBorder="1" applyAlignment="1">
      <alignment horizontal="center" vertical="center" wrapText="1"/>
    </xf>
    <xf numFmtId="165" fontId="16" fillId="4" borderId="95" xfId="21" applyFont="1" applyFill="1" applyBorder="1" applyAlignment="1">
      <alignment horizontal="center" vertical="center" wrapText="1"/>
    </xf>
    <xf numFmtId="3" fontId="53" fillId="4" borderId="95" xfId="0" applyNumberFormat="1" applyFont="1" applyFill="1" applyBorder="1" applyAlignment="1">
      <alignment horizontal="center" vertical="center" wrapText="1"/>
    </xf>
    <xf numFmtId="3" fontId="53" fillId="4" borderId="23" xfId="0" applyNumberFormat="1" applyFont="1" applyFill="1" applyBorder="1" applyAlignment="1">
      <alignment horizontal="center" vertical="center" wrapText="1"/>
    </xf>
    <xf numFmtId="0" fontId="40" fillId="0" borderId="65" xfId="0" applyFont="1" applyBorder="1" applyAlignment="1">
      <alignment horizontal="left"/>
    </xf>
    <xf numFmtId="0" fontId="54" fillId="0" borderId="65" xfId="0" applyFont="1" applyBorder="1" applyAlignment="1">
      <alignment horizontal="center" vertical="center" wrapText="1"/>
    </xf>
    <xf numFmtId="0" fontId="54" fillId="4" borderId="18" xfId="0" applyFont="1" applyFill="1" applyBorder="1" applyAlignment="1">
      <alignment horizontal="center" vertical="center" wrapText="1"/>
    </xf>
    <xf numFmtId="0" fontId="56" fillId="4" borderId="56" xfId="0" applyFont="1" applyFill="1" applyBorder="1" applyAlignment="1">
      <alignment horizontal="center" vertical="center" wrapText="1"/>
    </xf>
    <xf numFmtId="0" fontId="56" fillId="4" borderId="52" xfId="0" applyFont="1" applyFill="1" applyBorder="1" applyAlignment="1">
      <alignment horizontal="center" vertical="center" wrapText="1"/>
    </xf>
    <xf numFmtId="0" fontId="53" fillId="4" borderId="56" xfId="0" applyFont="1" applyFill="1" applyBorder="1" applyAlignment="1">
      <alignment horizontal="center" vertical="center" wrapText="1"/>
    </xf>
    <xf numFmtId="0" fontId="54" fillId="0" borderId="65" xfId="0" applyFont="1" applyBorder="1" applyAlignment="1">
      <alignment vertical="center" wrapText="1"/>
    </xf>
    <xf numFmtId="175" fontId="54" fillId="0" borderId="65" xfId="21" applyNumberFormat="1" applyFont="1" applyBorder="1" applyAlignment="1">
      <alignment horizontal="center" vertical="center" wrapText="1"/>
    </xf>
    <xf numFmtId="175" fontId="25" fillId="3" borderId="32" xfId="21" applyNumberFormat="1" applyFont="1" applyFill="1" applyBorder="1" applyAlignment="1" applyProtection="1">
      <alignment horizontal="center" vertical="center" wrapText="1"/>
      <protection locked="0"/>
    </xf>
    <xf numFmtId="0" fontId="54" fillId="0" borderId="18" xfId="0" applyFont="1" applyBorder="1" applyAlignment="1">
      <alignment horizontal="center" vertical="center" wrapText="1"/>
    </xf>
    <xf numFmtId="0" fontId="40" fillId="0" borderId="18" xfId="0" applyFont="1" applyBorder="1"/>
    <xf numFmtId="0" fontId="54" fillId="0" borderId="6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/>
    </xf>
    <xf numFmtId="175" fontId="54" fillId="0" borderId="18" xfId="21" applyNumberFormat="1" applyFont="1" applyBorder="1" applyAlignment="1">
      <alignment horizontal="center" vertical="center" wrapText="1"/>
    </xf>
    <xf numFmtId="0" fontId="40" fillId="0" borderId="65" xfId="0" applyFont="1" applyBorder="1"/>
    <xf numFmtId="0" fontId="53" fillId="0" borderId="26" xfId="0" applyFont="1" applyBorder="1" applyAlignment="1">
      <alignment vertical="center" wrapText="1"/>
    </xf>
    <xf numFmtId="0" fontId="40" fillId="0" borderId="65" xfId="0" applyFont="1" applyBorder="1" applyAlignment="1">
      <alignment horizontal="center"/>
    </xf>
    <xf numFmtId="0" fontId="53" fillId="4" borderId="11" xfId="0" applyFont="1" applyFill="1" applyBorder="1" applyAlignment="1">
      <alignment horizontal="center" vertical="center" wrapText="1"/>
    </xf>
    <xf numFmtId="0" fontId="40" fillId="0" borderId="18" xfId="0" applyFont="1" applyBorder="1" applyAlignment="1">
      <alignment horizontal="left"/>
    </xf>
    <xf numFmtId="0" fontId="55" fillId="0" borderId="60" xfId="0" applyFont="1" applyBorder="1" applyAlignment="1">
      <alignment horizontal="center" vertical="center" wrapText="1"/>
    </xf>
    <xf numFmtId="0" fontId="53" fillId="0" borderId="61" xfId="0" applyFont="1" applyBorder="1" applyAlignment="1">
      <alignment horizontal="center" vertical="center" wrapText="1"/>
    </xf>
    <xf numFmtId="0" fontId="54" fillId="4" borderId="56" xfId="0" applyFont="1" applyFill="1" applyBorder="1" applyAlignment="1">
      <alignment horizontal="center" vertical="center" wrapText="1"/>
    </xf>
    <xf numFmtId="0" fontId="53" fillId="4" borderId="55" xfId="0" applyFont="1" applyFill="1" applyBorder="1" applyAlignment="1">
      <alignment horizontal="center" vertical="center" wrapText="1"/>
    </xf>
    <xf numFmtId="0" fontId="53" fillId="4" borderId="53" xfId="0" applyFont="1" applyFill="1" applyBorder="1" applyAlignment="1">
      <alignment horizontal="center" vertical="center" wrapText="1"/>
    </xf>
    <xf numFmtId="3" fontId="54" fillId="0" borderId="14" xfId="19" applyNumberFormat="1" applyFont="1" applyBorder="1" applyAlignment="1">
      <alignment horizontal="center" vertical="center" wrapText="1"/>
    </xf>
    <xf numFmtId="3" fontId="54" fillId="0" borderId="9" xfId="19" applyNumberFormat="1" applyFont="1" applyBorder="1" applyAlignment="1">
      <alignment horizontal="center" vertical="center" wrapText="1"/>
    </xf>
    <xf numFmtId="3" fontId="54" fillId="3" borderId="9" xfId="19" applyNumberFormat="1" applyFont="1" applyFill="1" applyBorder="1" applyAlignment="1">
      <alignment horizontal="center" vertical="center" wrapText="1"/>
    </xf>
    <xf numFmtId="3" fontId="61" fillId="0" borderId="9" xfId="19" applyNumberFormat="1" applyFont="1" applyBorder="1" applyAlignment="1">
      <alignment horizontal="center" vertical="center" wrapText="1"/>
    </xf>
    <xf numFmtId="3" fontId="61" fillId="0" borderId="16" xfId="19" applyNumberFormat="1" applyFont="1" applyBorder="1" applyAlignment="1">
      <alignment horizontal="center" vertical="center" wrapText="1"/>
    </xf>
    <xf numFmtId="0" fontId="54" fillId="0" borderId="73" xfId="19" applyFont="1" applyBorder="1" applyAlignment="1">
      <alignment horizontal="left" vertical="center" wrapText="1"/>
    </xf>
    <xf numFmtId="0" fontId="54" fillId="0" borderId="75" xfId="19" applyFont="1" applyBorder="1" applyAlignment="1">
      <alignment horizontal="left" vertical="center" wrapText="1"/>
    </xf>
    <xf numFmtId="0" fontId="54" fillId="3" borderId="75" xfId="19" applyFont="1" applyFill="1" applyBorder="1" applyAlignment="1">
      <alignment horizontal="left" vertical="center" wrapText="1"/>
    </xf>
    <xf numFmtId="0" fontId="55" fillId="3" borderId="75" xfId="19" applyFont="1" applyFill="1" applyBorder="1" applyAlignment="1">
      <alignment horizontal="left" vertical="center" wrapText="1"/>
    </xf>
    <xf numFmtId="0" fontId="61" fillId="0" borderId="75" xfId="19" applyFont="1" applyBorder="1" applyAlignment="1">
      <alignment horizontal="left" vertical="center" wrapText="1"/>
    </xf>
    <xf numFmtId="173" fontId="54" fillId="0" borderId="85" xfId="19" applyNumberFormat="1" applyFont="1" applyBorder="1" applyAlignment="1">
      <alignment horizontal="center" vertical="center" wrapText="1"/>
    </xf>
    <xf numFmtId="173" fontId="54" fillId="0" borderId="21" xfId="19" applyNumberFormat="1" applyFont="1" applyBorder="1" applyAlignment="1">
      <alignment horizontal="center" vertical="center" wrapText="1"/>
    </xf>
    <xf numFmtId="173" fontId="54" fillId="3" borderId="21" xfId="19" applyNumberFormat="1" applyFont="1" applyFill="1" applyBorder="1" applyAlignment="1">
      <alignment horizontal="center" vertical="center" wrapText="1"/>
    </xf>
    <xf numFmtId="173" fontId="61" fillId="0" borderId="21" xfId="19" applyNumberFormat="1" applyFont="1" applyBorder="1" applyAlignment="1">
      <alignment horizontal="center" vertical="center" wrapText="1"/>
    </xf>
    <xf numFmtId="173" fontId="61" fillId="0" borderId="91" xfId="19" applyNumberFormat="1" applyFont="1" applyBorder="1" applyAlignment="1">
      <alignment horizontal="center" vertical="center" wrapText="1"/>
    </xf>
    <xf numFmtId="175" fontId="54" fillId="0" borderId="81" xfId="21" applyNumberFormat="1" applyFont="1" applyBorder="1" applyAlignment="1">
      <alignment wrapText="1"/>
    </xf>
    <xf numFmtId="175" fontId="54" fillId="0" borderId="14" xfId="21" applyNumberFormat="1" applyFont="1" applyBorder="1" applyAlignment="1">
      <alignment wrapText="1"/>
    </xf>
    <xf numFmtId="175" fontId="54" fillId="0" borderId="73" xfId="21" applyNumberFormat="1" applyFont="1" applyBorder="1" applyAlignment="1">
      <alignment wrapText="1"/>
    </xf>
    <xf numFmtId="175" fontId="54" fillId="0" borderId="85" xfId="21" applyNumberFormat="1" applyFont="1" applyBorder="1" applyAlignment="1">
      <alignment wrapText="1"/>
    </xf>
    <xf numFmtId="175" fontId="54" fillId="0" borderId="77" xfId="21" applyNumberFormat="1" applyFont="1" applyBorder="1" applyAlignment="1">
      <alignment wrapText="1"/>
    </xf>
    <xf numFmtId="175" fontId="54" fillId="0" borderId="9" xfId="21" applyNumberFormat="1" applyFont="1" applyBorder="1" applyAlignment="1">
      <alignment wrapText="1"/>
    </xf>
    <xf numFmtId="175" fontId="54" fillId="0" borderId="32" xfId="21" applyNumberFormat="1" applyFont="1" applyBorder="1" applyAlignment="1">
      <alignment wrapText="1"/>
    </xf>
    <xf numFmtId="175" fontId="54" fillId="0" borderId="33" xfId="21" applyNumberFormat="1" applyFont="1" applyBorder="1" applyAlignment="1">
      <alignment wrapText="1"/>
    </xf>
    <xf numFmtId="175" fontId="54" fillId="0" borderId="80" xfId="21" applyNumberFormat="1" applyFont="1" applyBorder="1" applyAlignment="1">
      <alignment wrapText="1"/>
    </xf>
    <xf numFmtId="175" fontId="54" fillId="0" borderId="24" xfId="21" applyNumberFormat="1" applyFont="1" applyBorder="1" applyAlignment="1">
      <alignment wrapText="1"/>
    </xf>
    <xf numFmtId="175" fontId="61" fillId="0" borderId="77" xfId="21" applyNumberFormat="1" applyFont="1" applyBorder="1" applyAlignment="1">
      <alignment wrapText="1"/>
    </xf>
    <xf numFmtId="175" fontId="61" fillId="0" borderId="9" xfId="21" applyNumberFormat="1" applyFont="1" applyBorder="1" applyAlignment="1">
      <alignment wrapText="1"/>
    </xf>
    <xf numFmtId="175" fontId="61" fillId="0" borderId="32" xfId="21" applyNumberFormat="1" applyFont="1" applyBorder="1" applyAlignment="1">
      <alignment wrapText="1"/>
    </xf>
    <xf numFmtId="175" fontId="61" fillId="0" borderId="33" xfId="21" applyNumberFormat="1" applyFont="1" applyBorder="1" applyAlignment="1">
      <alignment wrapText="1"/>
    </xf>
    <xf numFmtId="175" fontId="61" fillId="0" borderId="80" xfId="21" applyNumberFormat="1" applyFont="1" applyBorder="1" applyAlignment="1">
      <alignment wrapText="1"/>
    </xf>
    <xf numFmtId="175" fontId="61" fillId="0" borderId="24" xfId="21" applyNumberFormat="1" applyFont="1" applyBorder="1" applyAlignment="1">
      <alignment wrapText="1"/>
    </xf>
    <xf numFmtId="175" fontId="61" fillId="0" borderId="82" xfId="21" applyNumberFormat="1" applyFont="1" applyBorder="1" applyAlignment="1">
      <alignment wrapText="1"/>
    </xf>
    <xf numFmtId="175" fontId="61" fillId="0" borderId="16" xfId="21" applyNumberFormat="1" applyFont="1" applyBorder="1" applyAlignment="1">
      <alignment wrapText="1"/>
    </xf>
    <xf numFmtId="175" fontId="61" fillId="0" borderId="86" xfId="21" applyNumberFormat="1" applyFont="1" applyBorder="1" applyAlignment="1">
      <alignment wrapText="1"/>
    </xf>
    <xf numFmtId="175" fontId="61" fillId="0" borderId="87" xfId="21" applyNumberFormat="1" applyFont="1" applyBorder="1" applyAlignment="1">
      <alignment wrapText="1"/>
    </xf>
    <xf numFmtId="175" fontId="61" fillId="0" borderId="10" xfId="21" applyNumberFormat="1" applyFont="1" applyBorder="1" applyAlignment="1">
      <alignment wrapText="1"/>
    </xf>
    <xf numFmtId="175" fontId="61" fillId="0" borderId="44" xfId="21" applyNumberFormat="1" applyFont="1" applyBorder="1" applyAlignment="1">
      <alignment wrapText="1"/>
    </xf>
    <xf numFmtId="0" fontId="61" fillId="3" borderId="75" xfId="19" applyFont="1" applyFill="1" applyBorder="1" applyAlignment="1">
      <alignment horizontal="left" vertical="center" wrapText="1"/>
    </xf>
    <xf numFmtId="173" fontId="61" fillId="3" borderId="21" xfId="19" applyNumberFormat="1" applyFont="1" applyFill="1" applyBorder="1" applyAlignment="1">
      <alignment horizontal="center" vertical="center" wrapText="1"/>
    </xf>
    <xf numFmtId="3" fontId="61" fillId="3" borderId="9" xfId="19" applyNumberFormat="1" applyFont="1" applyFill="1" applyBorder="1" applyAlignment="1">
      <alignment horizontal="center" vertical="center" wrapText="1"/>
    </xf>
    <xf numFmtId="173" fontId="56" fillId="7" borderId="8" xfId="19" applyNumberFormat="1" applyFont="1" applyFill="1" applyBorder="1" applyAlignment="1">
      <alignment horizontal="center" vertical="center" wrapText="1"/>
    </xf>
    <xf numFmtId="173" fontId="59" fillId="0" borderId="42" xfId="19" applyNumberFormat="1" applyFont="1" applyBorder="1" applyAlignment="1">
      <alignment horizontal="center" vertical="center" wrapText="1"/>
    </xf>
    <xf numFmtId="173" fontId="59" fillId="0" borderId="3" xfId="19" applyNumberFormat="1" applyFont="1" applyBorder="1" applyAlignment="1">
      <alignment horizontal="center" vertical="center" wrapText="1"/>
    </xf>
    <xf numFmtId="165" fontId="56" fillId="7" borderId="78" xfId="21" applyFont="1" applyFill="1" applyBorder="1" applyAlignment="1" applyProtection="1">
      <alignment horizontal="center" vertical="center" wrapText="1"/>
    </xf>
    <xf numFmtId="175" fontId="59" fillId="0" borderId="74" xfId="21" applyNumberFormat="1" applyFont="1" applyFill="1" applyBorder="1" applyAlignment="1">
      <alignment horizontal="center" vertical="center" wrapText="1"/>
    </xf>
    <xf numFmtId="175" fontId="59" fillId="0" borderId="71" xfId="21" applyNumberFormat="1" applyFont="1" applyFill="1" applyBorder="1" applyAlignment="1">
      <alignment horizontal="center" vertical="center" wrapText="1"/>
    </xf>
    <xf numFmtId="3" fontId="56" fillId="7" borderId="56" xfId="19" applyNumberFormat="1" applyFont="1" applyFill="1" applyBorder="1" applyAlignment="1">
      <alignment horizontal="center" vertical="center" wrapText="1"/>
    </xf>
    <xf numFmtId="3" fontId="56" fillId="7" borderId="53" xfId="19" applyNumberFormat="1" applyFont="1" applyFill="1" applyBorder="1" applyAlignment="1">
      <alignment horizontal="center" vertical="center" wrapText="1"/>
    </xf>
    <xf numFmtId="3" fontId="59" fillId="0" borderId="9" xfId="19" applyNumberFormat="1" applyFont="1" applyBorder="1" applyAlignment="1">
      <alignment horizontal="center" vertical="center" wrapText="1"/>
    </xf>
    <xf numFmtId="3" fontId="59" fillId="0" borderId="77" xfId="19" applyNumberFormat="1" applyFont="1" applyBorder="1" applyAlignment="1">
      <alignment horizontal="center" vertical="center" wrapText="1"/>
    </xf>
    <xf numFmtId="175" fontId="10" fillId="0" borderId="54" xfId="21" applyNumberFormat="1" applyFont="1" applyBorder="1" applyAlignment="1">
      <alignment horizontal="center" vertical="center" textRotation="90" wrapText="1"/>
    </xf>
    <xf numFmtId="3" fontId="59" fillId="0" borderId="3" xfId="19" applyNumberFormat="1" applyFont="1" applyBorder="1" applyAlignment="1">
      <alignment horizontal="center" vertical="center" wrapText="1"/>
    </xf>
    <xf numFmtId="175" fontId="56" fillId="7" borderId="41" xfId="21" applyNumberFormat="1" applyFont="1" applyFill="1" applyBorder="1" applyAlignment="1" applyProtection="1">
      <alignment horizontal="center" vertical="center" wrapText="1"/>
    </xf>
    <xf numFmtId="3" fontId="59" fillId="0" borderId="71" xfId="19" applyNumberFormat="1" applyFont="1" applyBorder="1" applyAlignment="1">
      <alignment horizontal="center" vertical="center" wrapText="1"/>
    </xf>
    <xf numFmtId="165" fontId="56" fillId="7" borderId="8" xfId="21" applyFont="1" applyFill="1" applyBorder="1" applyAlignment="1" applyProtection="1">
      <alignment horizontal="center" vertical="center" wrapText="1"/>
    </xf>
    <xf numFmtId="165" fontId="56" fillId="7" borderId="53" xfId="21" applyFont="1" applyFill="1" applyBorder="1" applyAlignment="1" applyProtection="1">
      <alignment horizontal="center" vertical="center" wrapText="1"/>
    </xf>
    <xf numFmtId="175" fontId="59" fillId="0" borderId="14" xfId="21" applyNumberFormat="1" applyFont="1" applyFill="1" applyBorder="1" applyAlignment="1">
      <alignment horizontal="center" vertical="center" wrapText="1"/>
    </xf>
    <xf numFmtId="175" fontId="59" fillId="0" borderId="9" xfId="21" applyNumberFormat="1" applyFont="1" applyFill="1" applyBorder="1" applyAlignment="1">
      <alignment horizontal="center" vertical="center" wrapText="1"/>
    </xf>
    <xf numFmtId="173" fontId="55" fillId="0" borderId="96" xfId="19" applyNumberFormat="1" applyFont="1" applyBorder="1" applyAlignment="1">
      <alignment horizontal="center" vertical="center" wrapText="1"/>
    </xf>
    <xf numFmtId="173" fontId="55" fillId="0" borderId="89" xfId="19" applyNumberFormat="1" applyFont="1" applyBorder="1" applyAlignment="1">
      <alignment horizontal="center" vertical="center" wrapText="1"/>
    </xf>
    <xf numFmtId="173" fontId="62" fillId="0" borderId="89" xfId="19" applyNumberFormat="1" applyFont="1" applyBorder="1" applyAlignment="1">
      <alignment horizontal="center" vertical="center" wrapText="1"/>
    </xf>
    <xf numFmtId="173" fontId="62" fillId="0" borderId="97" xfId="19" applyNumberFormat="1" applyFont="1" applyBorder="1" applyAlignment="1">
      <alignment horizontal="center" vertical="center" wrapText="1"/>
    </xf>
    <xf numFmtId="165" fontId="54" fillId="0" borderId="14" xfId="21" applyFont="1" applyFill="1" applyBorder="1" applyAlignment="1">
      <alignment horizontal="center" vertical="center" wrapText="1"/>
    </xf>
    <xf numFmtId="165" fontId="54" fillId="0" borderId="9" xfId="21" applyFont="1" applyFill="1" applyBorder="1" applyAlignment="1">
      <alignment horizontal="center" vertical="center" wrapText="1"/>
    </xf>
    <xf numFmtId="165" fontId="61" fillId="0" borderId="9" xfId="21" applyFont="1" applyBorder="1" applyAlignment="1">
      <alignment horizontal="center" vertical="center" wrapText="1"/>
    </xf>
    <xf numFmtId="165" fontId="61" fillId="0" borderId="16" xfId="21" applyFont="1" applyBorder="1" applyAlignment="1">
      <alignment horizontal="center" vertical="center" wrapText="1"/>
    </xf>
    <xf numFmtId="173" fontId="54" fillId="0" borderId="72" xfId="19" applyNumberFormat="1" applyFont="1" applyBorder="1" applyAlignment="1">
      <alignment horizontal="center" vertical="center" wrapText="1"/>
    </xf>
    <xf numFmtId="173" fontId="54" fillId="0" borderId="89" xfId="19" applyNumberFormat="1" applyFont="1" applyBorder="1" applyAlignment="1">
      <alignment horizontal="center" vertical="center" wrapText="1"/>
    </xf>
    <xf numFmtId="173" fontId="62" fillId="0" borderId="92" xfId="19" applyNumberFormat="1" applyFont="1" applyBorder="1" applyAlignment="1">
      <alignment horizontal="center" vertical="center" wrapText="1"/>
    </xf>
    <xf numFmtId="173" fontId="54" fillId="0" borderId="96" xfId="19" applyNumberFormat="1" applyFont="1" applyBorder="1" applyAlignment="1">
      <alignment horizontal="center" vertical="center" wrapText="1"/>
    </xf>
    <xf numFmtId="173" fontId="61" fillId="0" borderId="89" xfId="19" applyNumberFormat="1" applyFont="1" applyBorder="1" applyAlignment="1">
      <alignment horizontal="center" vertical="center" wrapText="1"/>
    </xf>
    <xf numFmtId="173" fontId="61" fillId="0" borderId="97" xfId="19" applyNumberFormat="1" applyFont="1" applyBorder="1" applyAlignment="1">
      <alignment horizontal="center" vertical="center" wrapText="1"/>
    </xf>
    <xf numFmtId="173" fontId="61" fillId="3" borderId="97" xfId="19" applyNumberFormat="1" applyFont="1" applyFill="1" applyBorder="1" applyAlignment="1">
      <alignment horizontal="center" vertical="center" wrapText="1"/>
    </xf>
    <xf numFmtId="174" fontId="53" fillId="7" borderId="8" xfId="19" applyNumberFormat="1" applyFont="1" applyFill="1" applyBorder="1" applyAlignment="1">
      <alignment horizontal="center" vertical="center" wrapText="1"/>
    </xf>
    <xf numFmtId="165" fontId="53" fillId="7" borderId="78" xfId="21" applyFont="1" applyFill="1" applyBorder="1" applyAlignment="1" applyProtection="1">
      <alignment horizontal="center" vertical="center" wrapText="1"/>
    </xf>
    <xf numFmtId="3" fontId="53" fillId="7" borderId="56" xfId="19" applyNumberFormat="1" applyFont="1" applyFill="1" applyBorder="1" applyAlignment="1">
      <alignment horizontal="center" vertical="center" wrapText="1"/>
    </xf>
    <xf numFmtId="165" fontId="53" fillId="7" borderId="53" xfId="21" applyFont="1" applyFill="1" applyBorder="1" applyAlignment="1" applyProtection="1">
      <alignment horizontal="center" vertical="center" wrapText="1"/>
    </xf>
    <xf numFmtId="3" fontId="53" fillId="7" borderId="53" xfId="19" applyNumberFormat="1" applyFont="1" applyFill="1" applyBorder="1" applyAlignment="1">
      <alignment horizontal="center" vertical="center" wrapText="1"/>
    </xf>
    <xf numFmtId="0" fontId="55" fillId="0" borderId="75" xfId="19" applyFont="1" applyBorder="1" applyAlignment="1">
      <alignment horizontal="left" vertical="center" wrapText="1"/>
    </xf>
    <xf numFmtId="0" fontId="61" fillId="0" borderId="76" xfId="19" applyFont="1" applyBorder="1" applyAlignment="1">
      <alignment horizontal="left" vertical="center" wrapText="1"/>
    </xf>
    <xf numFmtId="3" fontId="86" fillId="3" borderId="9" xfId="19" applyNumberFormat="1" applyFont="1" applyFill="1" applyBorder="1" applyAlignment="1">
      <alignment horizontal="center" vertical="center" wrapText="1"/>
    </xf>
    <xf numFmtId="175" fontId="86" fillId="3" borderId="77" xfId="21" applyNumberFormat="1" applyFont="1" applyFill="1" applyBorder="1" applyAlignment="1">
      <alignment wrapText="1"/>
    </xf>
    <xf numFmtId="175" fontId="86" fillId="0" borderId="32" xfId="21" applyNumberFormat="1" applyFont="1" applyBorder="1" applyAlignment="1">
      <alignment wrapText="1"/>
    </xf>
    <xf numFmtId="175" fontId="86" fillId="0" borderId="33" xfId="21" applyNumberFormat="1" applyFont="1" applyBorder="1" applyAlignment="1">
      <alignment wrapText="1"/>
    </xf>
    <xf numFmtId="3" fontId="86" fillId="0" borderId="9" xfId="19" applyNumberFormat="1" applyFont="1" applyBorder="1" applyAlignment="1">
      <alignment horizontal="center" vertical="center" wrapText="1"/>
    </xf>
    <xf numFmtId="175" fontId="86" fillId="0" borderId="77" xfId="21" applyNumberFormat="1" applyFont="1" applyBorder="1" applyAlignment="1">
      <alignment wrapText="1"/>
    </xf>
    <xf numFmtId="165" fontId="86" fillId="0" borderId="9" xfId="21" applyFont="1" applyFill="1" applyBorder="1" applyAlignment="1">
      <alignment horizontal="center" vertical="center" wrapText="1"/>
    </xf>
    <xf numFmtId="165" fontId="86" fillId="3" borderId="9" xfId="21" applyFont="1" applyFill="1" applyBorder="1" applyAlignment="1">
      <alignment horizontal="center" vertical="center" wrapText="1"/>
    </xf>
    <xf numFmtId="175" fontId="82" fillId="4" borderId="20" xfId="21" applyNumberFormat="1" applyFont="1" applyFill="1" applyBorder="1" applyAlignment="1">
      <alignment horizontal="center" vertical="center" wrapText="1"/>
    </xf>
    <xf numFmtId="0" fontId="82" fillId="4" borderId="20" xfId="0" applyFont="1" applyFill="1" applyBorder="1" applyAlignment="1">
      <alignment horizontal="center" vertical="center" wrapText="1"/>
    </xf>
    <xf numFmtId="0" fontId="12" fillId="0" borderId="93" xfId="0" applyFont="1" applyBorder="1" applyAlignment="1">
      <alignment horizontal="center" vertical="center" wrapText="1"/>
    </xf>
    <xf numFmtId="0" fontId="12" fillId="0" borderId="80" xfId="0" applyFont="1" applyBorder="1" applyAlignment="1">
      <alignment horizontal="center" vertical="center" wrapText="1"/>
    </xf>
    <xf numFmtId="0" fontId="12" fillId="0" borderId="75" xfId="0" applyFont="1" applyBorder="1" applyAlignment="1">
      <alignment horizontal="center" vertical="center" wrapText="1"/>
    </xf>
    <xf numFmtId="0" fontId="56" fillId="3" borderId="0" xfId="0" applyFont="1" applyFill="1" applyBorder="1" applyAlignment="1">
      <alignment horizontal="center" vertical="center" wrapText="1"/>
    </xf>
    <xf numFmtId="0" fontId="53" fillId="3" borderId="0" xfId="0" applyFont="1" applyFill="1" applyBorder="1" applyAlignment="1">
      <alignment horizontal="center" vertical="center" wrapText="1"/>
    </xf>
    <xf numFmtId="165" fontId="16" fillId="3" borderId="0" xfId="2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1" fillId="0" borderId="0" xfId="0" applyFont="1"/>
    <xf numFmtId="175" fontId="11" fillId="0" borderId="19" xfId="21" applyNumberFormat="1" applyFont="1" applyBorder="1" applyAlignment="1">
      <alignment horizontal="center" vertical="center" wrapText="1"/>
    </xf>
    <xf numFmtId="0" fontId="37" fillId="4" borderId="8" xfId="0" applyFont="1" applyFill="1" applyBorder="1" applyAlignment="1">
      <alignment horizontal="center" vertical="center" wrapText="1"/>
    </xf>
    <xf numFmtId="175" fontId="88" fillId="3" borderId="9" xfId="21" applyNumberFormat="1" applyFont="1" applyFill="1" applyBorder="1" applyAlignment="1" applyProtection="1">
      <alignment horizontal="center" vertical="center" wrapText="1"/>
      <protection locked="0"/>
    </xf>
    <xf numFmtId="176" fontId="57" fillId="0" borderId="0" xfId="0" applyNumberFormat="1" applyFont="1" applyAlignment="1">
      <alignment vertical="center" wrapText="1"/>
    </xf>
    <xf numFmtId="176" fontId="54" fillId="0" borderId="0" xfId="0" applyNumberFormat="1" applyFont="1" applyAlignment="1">
      <alignment vertical="center" wrapText="1"/>
    </xf>
    <xf numFmtId="176" fontId="59" fillId="0" borderId="0" xfId="0" applyNumberFormat="1" applyFont="1" applyAlignment="1">
      <alignment horizontal="center" vertical="center" wrapText="1"/>
    </xf>
    <xf numFmtId="0" fontId="73" fillId="0" borderId="30" xfId="0" applyFont="1" applyBorder="1" applyAlignment="1">
      <alignment horizontal="center" vertical="center" wrapText="1"/>
    </xf>
    <xf numFmtId="175" fontId="61" fillId="0" borderId="19" xfId="21" applyNumberFormat="1" applyFont="1" applyBorder="1" applyAlignment="1">
      <alignment horizontal="center" vertical="center" wrapText="1"/>
    </xf>
    <xf numFmtId="3" fontId="88" fillId="3" borderId="0" xfId="0" applyNumberFormat="1" applyFont="1" applyFill="1" applyAlignment="1" applyProtection="1">
      <alignment horizontal="center" vertical="center" wrapText="1"/>
      <protection locked="0"/>
    </xf>
    <xf numFmtId="3" fontId="88" fillId="4" borderId="43" xfId="0" applyNumberFormat="1" applyFont="1" applyFill="1" applyBorder="1" applyAlignment="1" applyProtection="1">
      <alignment horizontal="center" vertical="center" wrapText="1"/>
      <protection locked="0"/>
    </xf>
    <xf numFmtId="0" fontId="61" fillId="0" borderId="59" xfId="0" applyFont="1" applyBorder="1" applyAlignment="1">
      <alignment horizontal="center" vertical="center" wrapText="1"/>
    </xf>
    <xf numFmtId="0" fontId="73" fillId="0" borderId="59" xfId="0" applyFont="1" applyBorder="1" applyAlignment="1">
      <alignment horizontal="center" vertical="center" wrapText="1"/>
    </xf>
    <xf numFmtId="0" fontId="64" fillId="0" borderId="0" xfId="0" applyFont="1" applyBorder="1" applyAlignment="1">
      <alignment horizontal="center" vertical="center" wrapText="1"/>
    </xf>
    <xf numFmtId="0" fontId="53" fillId="4" borderId="62" xfId="19" applyFont="1" applyFill="1" applyBorder="1" applyAlignment="1" applyProtection="1">
      <alignment horizontal="center" vertical="center" wrapText="1"/>
      <protection locked="0"/>
    </xf>
    <xf numFmtId="0" fontId="53" fillId="4" borderId="40" xfId="19" applyFont="1" applyFill="1" applyBorder="1" applyAlignment="1" applyProtection="1">
      <alignment horizontal="center" vertical="center" wrapText="1"/>
      <protection locked="0"/>
    </xf>
    <xf numFmtId="173" fontId="56" fillId="4" borderId="56" xfId="19" applyNumberFormat="1" applyFont="1" applyFill="1" applyBorder="1" applyAlignment="1">
      <alignment horizontal="center" vertical="center" wrapText="1"/>
    </xf>
    <xf numFmtId="3" fontId="56" fillId="4" borderId="52" xfId="19" applyNumberFormat="1" applyFont="1" applyFill="1" applyBorder="1" applyAlignment="1">
      <alignment horizontal="center" vertical="center" wrapText="1"/>
    </xf>
    <xf numFmtId="165" fontId="56" fillId="4" borderId="52" xfId="21" applyFont="1" applyFill="1" applyBorder="1" applyAlignment="1" applyProtection="1">
      <alignment horizontal="center" vertical="center" wrapText="1"/>
    </xf>
    <xf numFmtId="165" fontId="56" fillId="4" borderId="55" xfId="21" applyFont="1" applyFill="1" applyBorder="1" applyAlignment="1" applyProtection="1">
      <alignment horizontal="center" vertical="center" wrapText="1"/>
    </xf>
    <xf numFmtId="175" fontId="56" fillId="4" borderId="53" xfId="21" applyNumberFormat="1" applyFont="1" applyFill="1" applyBorder="1" applyAlignment="1" applyProtection="1">
      <alignment horizontal="center" vertical="center" wrapText="1"/>
    </xf>
    <xf numFmtId="175" fontId="56" fillId="4" borderId="55" xfId="21" applyNumberFormat="1" applyFont="1" applyFill="1" applyBorder="1" applyAlignment="1" applyProtection="1">
      <alignment horizontal="center" vertical="center" wrapText="1"/>
    </xf>
    <xf numFmtId="0" fontId="62" fillId="0" borderId="11" xfId="0" applyFont="1" applyBorder="1" applyAlignment="1">
      <alignment horizontal="left" vertical="center" wrapText="1"/>
    </xf>
    <xf numFmtId="0" fontId="89" fillId="0" borderId="19" xfId="0" applyFont="1" applyBorder="1"/>
    <xf numFmtId="175" fontId="81" fillId="6" borderId="19" xfId="21" applyNumberFormat="1" applyFont="1" applyFill="1" applyBorder="1" applyAlignment="1">
      <alignment horizontal="center" vertical="center" wrapText="1"/>
    </xf>
    <xf numFmtId="0" fontId="79" fillId="6" borderId="98" xfId="0" applyFont="1" applyFill="1" applyBorder="1" applyAlignment="1">
      <alignment horizontal="center" vertical="center" wrapText="1"/>
    </xf>
    <xf numFmtId="0" fontId="79" fillId="6" borderId="25" xfId="0" applyFont="1" applyFill="1" applyBorder="1" applyAlignment="1">
      <alignment horizontal="center" vertical="center" wrapText="1"/>
    </xf>
    <xf numFmtId="175" fontId="81" fillId="6" borderId="37" xfId="21" applyNumberFormat="1" applyFont="1" applyFill="1" applyBorder="1" applyAlignment="1">
      <alignment horizontal="center" vertical="center" wrapText="1"/>
    </xf>
    <xf numFmtId="175" fontId="11" fillId="0" borderId="37" xfId="21" applyNumberFormat="1" applyFont="1" applyBorder="1" applyAlignment="1">
      <alignment horizontal="center" vertical="center" wrapText="1"/>
    </xf>
    <xf numFmtId="0" fontId="77" fillId="0" borderId="36" xfId="0" applyFont="1" applyBorder="1" applyAlignment="1">
      <alignment horizontal="center" vertical="center" wrapText="1"/>
    </xf>
    <xf numFmtId="175" fontId="76" fillId="0" borderId="63" xfId="21" applyNumberFormat="1" applyFont="1" applyBorder="1" applyAlignment="1">
      <alignment horizontal="center" vertical="center" wrapText="1"/>
    </xf>
    <xf numFmtId="0" fontId="30" fillId="0" borderId="59" xfId="0" applyFont="1" applyBorder="1" applyAlignment="1">
      <alignment horizontal="center" vertical="center" wrapText="1"/>
    </xf>
    <xf numFmtId="0" fontId="91" fillId="6" borderId="11" xfId="0" applyFont="1" applyFill="1" applyBorder="1" applyAlignment="1">
      <alignment horizontal="center" vertical="center" wrapText="1"/>
    </xf>
    <xf numFmtId="175" fontId="81" fillId="3" borderId="19" xfId="21" applyNumberFormat="1" applyFont="1" applyFill="1" applyBorder="1" applyAlignment="1">
      <alignment horizontal="center" vertical="center" wrapText="1"/>
    </xf>
    <xf numFmtId="0" fontId="90" fillId="0" borderId="19" xfId="0" applyFont="1" applyBorder="1" applyAlignment="1">
      <alignment horizontal="center" vertical="center" wrapText="1"/>
    </xf>
    <xf numFmtId="175" fontId="90" fillId="0" borderId="31" xfId="21" applyNumberFormat="1" applyFont="1" applyBorder="1" applyAlignment="1">
      <alignment horizontal="center" vertical="center" wrapText="1"/>
    </xf>
    <xf numFmtId="0" fontId="92" fillId="6" borderId="19" xfId="0" applyFont="1" applyFill="1" applyBorder="1" applyAlignment="1">
      <alignment horizontal="center" vertical="center" wrapText="1"/>
    </xf>
    <xf numFmtId="0" fontId="92" fillId="6" borderId="37" xfId="0" applyFont="1" applyFill="1" applyBorder="1" applyAlignment="1">
      <alignment horizontal="center" vertical="center" wrapText="1"/>
    </xf>
    <xf numFmtId="175" fontId="81" fillId="6" borderId="65" xfId="21" applyNumberFormat="1" applyFont="1" applyFill="1" applyBorder="1" applyAlignment="1">
      <alignment horizontal="center" vertical="center" wrapText="1"/>
    </xf>
    <xf numFmtId="175" fontId="0" fillId="0" borderId="59" xfId="21" applyNumberFormat="1" applyFont="1" applyBorder="1" applyAlignment="1">
      <alignment horizontal="center" vertical="center" wrapText="1"/>
    </xf>
    <xf numFmtId="175" fontId="92" fillId="0" borderId="31" xfId="21" applyNumberFormat="1" applyFont="1" applyBorder="1" applyAlignment="1">
      <alignment horizontal="center" vertical="center" wrapText="1"/>
    </xf>
    <xf numFmtId="175" fontId="0" fillId="0" borderId="36" xfId="21" applyNumberFormat="1" applyFont="1" applyBorder="1" applyAlignment="1">
      <alignment horizontal="center" vertical="center" wrapText="1"/>
    </xf>
    <xf numFmtId="175" fontId="92" fillId="0" borderId="38" xfId="21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175" fontId="76" fillId="0" borderId="100" xfId="21" applyNumberFormat="1" applyFont="1" applyBorder="1" applyAlignment="1">
      <alignment horizontal="center" vertical="center" wrapText="1"/>
    </xf>
    <xf numFmtId="165" fontId="76" fillId="0" borderId="100" xfId="21" applyFont="1" applyBorder="1" applyAlignment="1">
      <alignment horizontal="center" vertical="center" wrapText="1"/>
    </xf>
    <xf numFmtId="0" fontId="76" fillId="0" borderId="100" xfId="0" applyFont="1" applyBorder="1" applyAlignment="1">
      <alignment horizontal="center" vertical="center" wrapText="1"/>
    </xf>
    <xf numFmtId="175" fontId="76" fillId="0" borderId="101" xfId="21" applyNumberFormat="1" applyFont="1" applyBorder="1" applyAlignment="1">
      <alignment horizontal="center" vertical="center" wrapText="1"/>
    </xf>
    <xf numFmtId="0" fontId="76" fillId="0" borderId="67" xfId="0" applyFont="1" applyBorder="1" applyAlignment="1">
      <alignment horizontal="center" vertical="center" wrapText="1"/>
    </xf>
    <xf numFmtId="0" fontId="77" fillId="0" borderId="30" xfId="0" applyFont="1" applyBorder="1" applyAlignment="1">
      <alignment horizontal="center" vertical="center" wrapText="1"/>
    </xf>
    <xf numFmtId="0" fontId="92" fillId="6" borderId="65" xfId="0" applyFont="1" applyFill="1" applyBorder="1" applyAlignment="1">
      <alignment horizontal="center" vertical="center" wrapText="1"/>
    </xf>
    <xf numFmtId="175" fontId="92" fillId="0" borderId="84" xfId="21" applyNumberFormat="1" applyFont="1" applyBorder="1" applyAlignment="1">
      <alignment horizontal="center" vertical="center" wrapText="1"/>
    </xf>
    <xf numFmtId="175" fontId="11" fillId="0" borderId="59" xfId="21" applyNumberFormat="1" applyFont="1" applyBorder="1" applyAlignment="1">
      <alignment horizontal="left" vertical="center" wrapText="1"/>
    </xf>
    <xf numFmtId="175" fontId="11" fillId="0" borderId="36" xfId="21" applyNumberFormat="1" applyFont="1" applyBorder="1" applyAlignment="1">
      <alignment horizontal="left" vertical="center" wrapText="1"/>
    </xf>
    <xf numFmtId="175" fontId="33" fillId="0" borderId="19" xfId="21" applyNumberFormat="1" applyFont="1" applyBorder="1" applyAlignment="1">
      <alignment horizontal="center" vertical="center" wrapText="1"/>
    </xf>
    <xf numFmtId="175" fontId="33" fillId="0" borderId="37" xfId="21" applyNumberFormat="1" applyFont="1" applyBorder="1" applyAlignment="1">
      <alignment horizontal="center" vertical="center" wrapText="1"/>
    </xf>
    <xf numFmtId="0" fontId="92" fillId="0" borderId="19" xfId="0" applyFont="1" applyBorder="1" applyAlignment="1">
      <alignment horizontal="center" vertical="center" wrapText="1"/>
    </xf>
    <xf numFmtId="0" fontId="82" fillId="0" borderId="59" xfId="0" applyFont="1" applyBorder="1" applyAlignment="1">
      <alignment horizontal="center" vertical="center" wrapText="1"/>
    </xf>
    <xf numFmtId="0" fontId="82" fillId="0" borderId="36" xfId="0" applyFont="1" applyBorder="1" applyAlignment="1">
      <alignment horizontal="center" vertical="center" wrapText="1"/>
    </xf>
    <xf numFmtId="0" fontId="82" fillId="4" borderId="8" xfId="0" applyFont="1" applyFill="1" applyBorder="1" applyAlignment="1">
      <alignment horizontal="center" vertical="center" wrapText="1"/>
    </xf>
    <xf numFmtId="0" fontId="82" fillId="4" borderId="56" xfId="0" applyFont="1" applyFill="1" applyBorder="1" applyAlignment="1">
      <alignment horizontal="center" vertical="center" wrapText="1"/>
    </xf>
    <xf numFmtId="175" fontId="82" fillId="4" borderId="52" xfId="21" applyNumberFormat="1" applyFont="1" applyFill="1" applyBorder="1" applyAlignment="1">
      <alignment horizontal="center" vertical="center" wrapText="1"/>
    </xf>
    <xf numFmtId="0" fontId="82" fillId="4" borderId="52" xfId="0" applyFont="1" applyFill="1" applyBorder="1" applyAlignment="1">
      <alignment horizontal="center" vertical="center" wrapText="1"/>
    </xf>
    <xf numFmtId="0" fontId="82" fillId="4" borderId="53" xfId="0" applyFont="1" applyFill="1" applyBorder="1" applyAlignment="1">
      <alignment horizontal="center" vertical="center" wrapText="1"/>
    </xf>
    <xf numFmtId="0" fontId="37" fillId="4" borderId="72" xfId="0" applyFont="1" applyFill="1" applyBorder="1" applyAlignment="1">
      <alignment horizontal="center" vertical="center" wrapText="1"/>
    </xf>
    <xf numFmtId="0" fontId="82" fillId="4" borderId="94" xfId="0" applyFont="1" applyFill="1" applyBorder="1" applyAlignment="1">
      <alignment horizontal="center" vertical="center" wrapText="1"/>
    </xf>
    <xf numFmtId="0" fontId="37" fillId="4" borderId="30" xfId="0" applyFont="1" applyFill="1" applyBorder="1" applyAlignment="1">
      <alignment horizontal="center" vertical="center" wrapText="1"/>
    </xf>
    <xf numFmtId="0" fontId="82" fillId="4" borderId="26" xfId="0" applyFont="1" applyFill="1" applyBorder="1" applyAlignment="1">
      <alignment horizontal="center" vertical="center" wrapText="1"/>
    </xf>
    <xf numFmtId="0" fontId="82" fillId="4" borderId="59" xfId="0" applyFont="1" applyFill="1" applyBorder="1" applyAlignment="1">
      <alignment horizontal="center" vertical="center" wrapText="1"/>
    </xf>
    <xf numFmtId="175" fontId="82" fillId="4" borderId="19" xfId="21" applyNumberFormat="1" applyFont="1" applyFill="1" applyBorder="1" applyAlignment="1">
      <alignment horizontal="center" vertical="center" wrapText="1"/>
    </xf>
    <xf numFmtId="175" fontId="82" fillId="4" borderId="31" xfId="21" applyNumberFormat="1" applyFont="1" applyFill="1" applyBorder="1" applyAlignment="1">
      <alignment horizontal="center" vertical="center" wrapText="1"/>
    </xf>
    <xf numFmtId="175" fontId="11" fillId="0" borderId="65" xfId="21" applyNumberFormat="1" applyFont="1" applyBorder="1" applyAlignment="1">
      <alignment horizontal="center" vertical="center" wrapText="1"/>
    </xf>
    <xf numFmtId="0" fontId="82" fillId="0" borderId="30" xfId="0" applyFont="1" applyBorder="1" applyAlignment="1">
      <alignment horizontal="center" vertical="center" wrapText="1"/>
    </xf>
    <xf numFmtId="0" fontId="80" fillId="0" borderId="68" xfId="0" applyFont="1" applyBorder="1" applyAlignment="1">
      <alignment horizontal="center" vertical="center" wrapText="1"/>
    </xf>
    <xf numFmtId="175" fontId="80" fillId="0" borderId="63" xfId="21" applyNumberFormat="1" applyFont="1" applyBorder="1" applyAlignment="1">
      <alignment horizontal="center" vertical="center" wrapText="1"/>
    </xf>
    <xf numFmtId="165" fontId="80" fillId="0" borderId="63" xfId="21" applyFont="1" applyBorder="1" applyAlignment="1">
      <alignment horizontal="center" vertical="center" wrapText="1"/>
    </xf>
    <xf numFmtId="0" fontId="80" fillId="0" borderId="63" xfId="0" applyFont="1" applyBorder="1" applyAlignment="1">
      <alignment horizontal="center" vertical="center" wrapText="1"/>
    </xf>
    <xf numFmtId="175" fontId="80" fillId="0" borderId="64" xfId="21" applyNumberFormat="1" applyFont="1" applyBorder="1" applyAlignment="1">
      <alignment horizontal="center" vertical="center" wrapText="1"/>
    </xf>
    <xf numFmtId="175" fontId="0" fillId="4" borderId="83" xfId="21" applyNumberFormat="1" applyFont="1" applyFill="1" applyBorder="1" applyAlignment="1">
      <alignment vertical="center" wrapText="1"/>
    </xf>
    <xf numFmtId="165" fontId="0" fillId="4" borderId="83" xfId="21" applyFont="1" applyFill="1" applyBorder="1" applyAlignment="1">
      <alignment vertical="center" wrapText="1"/>
    </xf>
    <xf numFmtId="0" fontId="0" fillId="4" borderId="83" xfId="0" applyFill="1" applyBorder="1" applyAlignment="1">
      <alignment vertical="center" wrapText="1"/>
    </xf>
    <xf numFmtId="0" fontId="14" fillId="4" borderId="83" xfId="0" applyFont="1" applyFill="1" applyBorder="1" applyAlignment="1">
      <alignment vertical="center" wrapText="1"/>
    </xf>
    <xf numFmtId="0" fontId="14" fillId="4" borderId="47" xfId="0" applyFont="1" applyFill="1" applyBorder="1" applyAlignment="1">
      <alignment vertical="center" wrapText="1"/>
    </xf>
    <xf numFmtId="175" fontId="0" fillId="4" borderId="47" xfId="21" applyNumberFormat="1" applyFont="1" applyFill="1" applyBorder="1" applyAlignment="1">
      <alignment vertical="center" wrapText="1"/>
    </xf>
    <xf numFmtId="165" fontId="0" fillId="4" borderId="47" xfId="21" applyFont="1" applyFill="1" applyBorder="1" applyAlignment="1">
      <alignment vertical="center" wrapText="1"/>
    </xf>
    <xf numFmtId="0" fontId="0" fillId="4" borderId="47" xfId="0" applyFill="1" applyBorder="1" applyAlignment="1">
      <alignment vertical="center" wrapText="1"/>
    </xf>
    <xf numFmtId="0" fontId="78" fillId="6" borderId="99" xfId="0" applyFont="1" applyFill="1" applyBorder="1" applyAlignment="1">
      <alignment horizontal="center" vertical="center" wrapText="1"/>
    </xf>
    <xf numFmtId="0" fontId="78" fillId="6" borderId="98" xfId="0" applyFont="1" applyFill="1" applyBorder="1" applyAlignment="1">
      <alignment horizontal="center" vertical="center" wrapText="1"/>
    </xf>
    <xf numFmtId="0" fontId="78" fillId="6" borderId="25" xfId="0" applyFont="1" applyFill="1" applyBorder="1" applyAlignment="1">
      <alignment horizontal="center" vertical="center" wrapText="1"/>
    </xf>
    <xf numFmtId="0" fontId="14" fillId="4" borderId="45" xfId="0" applyFont="1" applyFill="1" applyBorder="1" applyAlignment="1">
      <alignment vertical="center" wrapText="1"/>
    </xf>
    <xf numFmtId="175" fontId="0" fillId="4" borderId="45" xfId="21" applyNumberFormat="1" applyFont="1" applyFill="1" applyBorder="1" applyAlignment="1">
      <alignment vertical="center" wrapText="1"/>
    </xf>
    <xf numFmtId="165" fontId="0" fillId="4" borderId="45" xfId="21" applyFont="1" applyFill="1" applyBorder="1" applyAlignment="1">
      <alignment vertical="center" wrapText="1"/>
    </xf>
    <xf numFmtId="0" fontId="0" fillId="4" borderId="45" xfId="0" applyFill="1" applyBorder="1" applyAlignment="1">
      <alignment vertical="center" wrapText="1"/>
    </xf>
    <xf numFmtId="0" fontId="78" fillId="0" borderId="59" xfId="0" applyFont="1" applyBorder="1" applyAlignment="1">
      <alignment horizontal="center" vertical="center" wrapText="1"/>
    </xf>
    <xf numFmtId="0" fontId="81" fillId="0" borderId="59" xfId="0" applyFont="1" applyBorder="1" applyAlignment="1">
      <alignment horizontal="center" vertical="center" wrapText="1"/>
    </xf>
    <xf numFmtId="0" fontId="78" fillId="0" borderId="36" xfId="0" applyFont="1" applyBorder="1" applyAlignment="1">
      <alignment horizontal="center" vertical="center" wrapText="1"/>
    </xf>
    <xf numFmtId="0" fontId="81" fillId="0" borderId="36" xfId="0" applyFont="1" applyBorder="1" applyAlignment="1">
      <alignment horizontal="center" vertical="center" wrapText="1"/>
    </xf>
    <xf numFmtId="175" fontId="0" fillId="0" borderId="0" xfId="0" applyNumberFormat="1" applyAlignment="1">
      <alignment vertical="center" wrapText="1"/>
    </xf>
    <xf numFmtId="175" fontId="82" fillId="4" borderId="53" xfId="21" applyNumberFormat="1" applyFont="1" applyFill="1" applyBorder="1" applyAlignment="1">
      <alignment horizontal="center" vertical="center" wrapText="1"/>
    </xf>
    <xf numFmtId="175" fontId="82" fillId="4" borderId="69" xfId="21" applyNumberFormat="1" applyFont="1" applyFill="1" applyBorder="1" applyAlignment="1">
      <alignment horizontal="center" vertical="center" wrapText="1"/>
    </xf>
    <xf numFmtId="175" fontId="82" fillId="4" borderId="64" xfId="21" applyNumberFormat="1" applyFont="1" applyFill="1" applyBorder="1" applyAlignment="1">
      <alignment horizontal="center" vertical="center" wrapText="1"/>
    </xf>
    <xf numFmtId="175" fontId="82" fillId="4" borderId="23" xfId="21" applyNumberFormat="1" applyFont="1" applyFill="1" applyBorder="1" applyAlignment="1">
      <alignment horizontal="center" vertical="center" wrapText="1"/>
    </xf>
    <xf numFmtId="0" fontId="37" fillId="4" borderId="8" xfId="0" applyFont="1" applyFill="1" applyBorder="1" applyAlignment="1">
      <alignment horizontal="center" vertical="center" wrapText="1"/>
    </xf>
    <xf numFmtId="0" fontId="68" fillId="0" borderId="19" xfId="0" applyFont="1" applyBorder="1" applyAlignment="1">
      <alignment horizontal="center" vertical="center" wrapText="1"/>
    </xf>
    <xf numFmtId="175" fontId="92" fillId="0" borderId="19" xfId="21" applyNumberFormat="1" applyFont="1" applyBorder="1" applyAlignment="1">
      <alignment horizontal="center" vertical="center" wrapText="1"/>
    </xf>
    <xf numFmtId="0" fontId="68" fillId="0" borderId="65" xfId="0" applyFont="1" applyBorder="1" applyAlignment="1">
      <alignment horizontal="center" vertical="center" wrapText="1"/>
    </xf>
    <xf numFmtId="175" fontId="92" fillId="0" borderId="65" xfId="21" applyNumberFormat="1" applyFont="1" applyBorder="1" applyAlignment="1">
      <alignment horizontal="center" vertical="center" wrapText="1"/>
    </xf>
    <xf numFmtId="175" fontId="14" fillId="0" borderId="0" xfId="0" applyNumberFormat="1" applyFont="1"/>
    <xf numFmtId="3" fontId="22" fillId="7" borderId="20" xfId="19" applyNumberFormat="1" applyFont="1" applyFill="1" applyBorder="1" applyAlignment="1" applyProtection="1">
      <alignment horizontal="center" vertical="center" wrapText="1"/>
      <protection locked="0"/>
    </xf>
    <xf numFmtId="3" fontId="22" fillId="7" borderId="20" xfId="21" applyNumberFormat="1" applyFont="1" applyFill="1" applyBorder="1" applyAlignment="1" applyProtection="1">
      <alignment horizontal="center" vertical="center" wrapText="1"/>
      <protection locked="0"/>
    </xf>
    <xf numFmtId="3" fontId="22" fillId="7" borderId="41" xfId="21" applyNumberFormat="1" applyFont="1" applyFill="1" applyBorder="1" applyAlignment="1" applyProtection="1">
      <alignment horizontal="center" vertical="center" wrapText="1"/>
      <protection locked="0"/>
    </xf>
    <xf numFmtId="0" fontId="16" fillId="10" borderId="55" xfId="0" applyFont="1" applyFill="1" applyBorder="1" applyAlignment="1">
      <alignment horizontal="center" vertical="center"/>
    </xf>
    <xf numFmtId="165" fontId="29" fillId="0" borderId="0" xfId="21" applyFont="1" applyAlignment="1">
      <alignment horizontal="center" vertical="center" wrapText="1"/>
    </xf>
    <xf numFmtId="0" fontId="84" fillId="0" borderId="8" xfId="0" applyFont="1" applyBorder="1" applyAlignment="1">
      <alignment horizontal="center" vertical="center" wrapText="1"/>
    </xf>
    <xf numFmtId="0" fontId="57" fillId="0" borderId="26" xfId="0" applyFont="1" applyBorder="1" applyAlignment="1">
      <alignment horizontal="center" vertical="center" wrapText="1"/>
    </xf>
    <xf numFmtId="0" fontId="87" fillId="0" borderId="24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175" fontId="57" fillId="0" borderId="0" xfId="0" applyNumberFormat="1" applyFont="1" applyAlignment="1">
      <alignment vertical="center" wrapText="1"/>
    </xf>
    <xf numFmtId="175" fontId="54" fillId="0" borderId="0" xfId="0" applyNumberFormat="1" applyFont="1" applyAlignment="1">
      <alignment vertical="center" wrapText="1"/>
    </xf>
    <xf numFmtId="3" fontId="59" fillId="0" borderId="0" xfId="0" applyNumberFormat="1" applyFont="1" applyAlignment="1">
      <alignment horizontal="center" vertical="center" wrapText="1"/>
    </xf>
    <xf numFmtId="3" fontId="11" fillId="0" borderId="50" xfId="0" applyNumberFormat="1" applyFont="1" applyBorder="1" applyAlignment="1">
      <alignment horizontal="center" vertical="center" wrapText="1"/>
    </xf>
    <xf numFmtId="3" fontId="29" fillId="0" borderId="32" xfId="0" applyNumberFormat="1" applyFont="1" applyBorder="1" applyAlignment="1">
      <alignment horizontal="center" vertical="center" wrapText="1"/>
    </xf>
    <xf numFmtId="3" fontId="29" fillId="0" borderId="34" xfId="0" applyNumberFormat="1" applyFont="1" applyBorder="1" applyAlignment="1">
      <alignment horizontal="center" vertical="center" wrapText="1"/>
    </xf>
    <xf numFmtId="3" fontId="29" fillId="0" borderId="50" xfId="0" applyNumberFormat="1" applyFont="1" applyBorder="1" applyAlignment="1">
      <alignment horizontal="center" vertical="center" wrapText="1"/>
    </xf>
    <xf numFmtId="0" fontId="95" fillId="0" borderId="4" xfId="0" applyFont="1" applyBorder="1" applyAlignment="1">
      <alignment horizontal="center" vertical="center" wrapText="1"/>
    </xf>
    <xf numFmtId="0" fontId="95" fillId="0" borderId="0" xfId="0" applyFont="1" applyBorder="1" applyAlignment="1">
      <alignment horizontal="center" vertical="center" wrapText="1"/>
    </xf>
    <xf numFmtId="0" fontId="83" fillId="0" borderId="80" xfId="0" applyFont="1" applyBorder="1" applyAlignment="1">
      <alignment horizontal="center" vertical="center" wrapText="1"/>
    </xf>
    <xf numFmtId="0" fontId="83" fillId="0" borderId="32" xfId="0" applyFont="1" applyBorder="1" applyAlignment="1">
      <alignment horizontal="center" vertical="center" wrapText="1"/>
    </xf>
    <xf numFmtId="0" fontId="83" fillId="0" borderId="33" xfId="0" applyFont="1" applyBorder="1" applyAlignment="1">
      <alignment horizontal="center" vertical="center" wrapText="1"/>
    </xf>
    <xf numFmtId="0" fontId="83" fillId="0" borderId="75" xfId="0" applyFont="1" applyBorder="1" applyAlignment="1">
      <alignment horizontal="center" vertical="center" wrapText="1"/>
    </xf>
    <xf numFmtId="0" fontId="83" fillId="0" borderId="50" xfId="0" applyFont="1" applyBorder="1" applyAlignment="1">
      <alignment horizontal="center" vertical="center" wrapText="1"/>
    </xf>
    <xf numFmtId="0" fontId="83" fillId="0" borderId="93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83" fillId="0" borderId="4" xfId="0" applyFont="1" applyBorder="1" applyAlignment="1">
      <alignment horizontal="center" vertical="center" wrapText="1"/>
    </xf>
    <xf numFmtId="0" fontId="83" fillId="0" borderId="3" xfId="0" applyFont="1" applyBorder="1" applyAlignment="1">
      <alignment horizontal="center" vertical="center" wrapText="1"/>
    </xf>
    <xf numFmtId="0" fontId="29" fillId="10" borderId="20" xfId="0" applyFont="1" applyFill="1" applyBorder="1" applyAlignment="1">
      <alignment horizontal="center" vertical="center"/>
    </xf>
    <xf numFmtId="0" fontId="96" fillId="0" borderId="24" xfId="0" applyFont="1" applyBorder="1" applyAlignment="1">
      <alignment horizontal="center" vertical="center" wrapText="1"/>
    </xf>
    <xf numFmtId="0" fontId="42" fillId="10" borderId="78" xfId="0" applyFont="1" applyFill="1" applyBorder="1" applyAlignment="1">
      <alignment horizontal="center" vertical="center" wrapText="1"/>
    </xf>
    <xf numFmtId="0" fontId="42" fillId="10" borderId="49" xfId="0" applyFont="1" applyFill="1" applyBorder="1" applyAlignment="1">
      <alignment horizontal="center" vertical="center" wrapText="1"/>
    </xf>
    <xf numFmtId="0" fontId="42" fillId="10" borderId="41" xfId="0" applyFont="1" applyFill="1" applyBorder="1" applyAlignment="1">
      <alignment horizontal="center" vertical="center" wrapText="1"/>
    </xf>
    <xf numFmtId="0" fontId="97" fillId="0" borderId="0" xfId="0" applyFont="1"/>
    <xf numFmtId="0" fontId="16" fillId="10" borderId="8" xfId="0" applyFont="1" applyFill="1" applyBorder="1" applyAlignment="1">
      <alignment vertical="center"/>
    </xf>
    <xf numFmtId="0" fontId="16" fillId="10" borderId="20" xfId="0" applyFont="1" applyFill="1" applyBorder="1" applyAlignment="1">
      <alignment horizontal="center" vertical="center" wrapText="1"/>
    </xf>
    <xf numFmtId="0" fontId="16" fillId="10" borderId="56" xfId="0" applyFont="1" applyFill="1" applyBorder="1" applyAlignment="1">
      <alignment horizontal="center" vertical="center"/>
    </xf>
    <xf numFmtId="0" fontId="17" fillId="10" borderId="8" xfId="0" applyFont="1" applyFill="1" applyBorder="1" applyAlignment="1">
      <alignment vertical="center"/>
    </xf>
    <xf numFmtId="0" fontId="17" fillId="10" borderId="55" xfId="0" applyFont="1" applyFill="1" applyBorder="1" applyAlignment="1">
      <alignment horizontal="center" vertical="center"/>
    </xf>
    <xf numFmtId="0" fontId="17" fillId="10" borderId="20" xfId="0" applyFont="1" applyFill="1" applyBorder="1" applyAlignment="1">
      <alignment horizontal="center" vertical="center"/>
    </xf>
    <xf numFmtId="0" fontId="17" fillId="10" borderId="56" xfId="0" applyFont="1" applyFill="1" applyBorder="1" applyAlignment="1">
      <alignment horizontal="center" vertical="center"/>
    </xf>
    <xf numFmtId="0" fontId="33" fillId="0" borderId="0" xfId="0" applyFont="1"/>
    <xf numFmtId="0" fontId="17" fillId="10" borderId="48" xfId="0" applyFont="1" applyFill="1" applyBorder="1" applyAlignment="1">
      <alignment vertical="center"/>
    </xf>
    <xf numFmtId="0" fontId="17" fillId="10" borderId="39" xfId="0" applyFont="1" applyFill="1" applyBorder="1" applyAlignment="1">
      <alignment horizontal="center" vertical="center"/>
    </xf>
    <xf numFmtId="0" fontId="17" fillId="10" borderId="23" xfId="0" applyFont="1" applyFill="1" applyBorder="1" applyAlignment="1">
      <alignment horizontal="center" vertical="center"/>
    </xf>
    <xf numFmtId="0" fontId="17" fillId="10" borderId="27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3" fontId="17" fillId="10" borderId="20" xfId="0" applyNumberFormat="1" applyFont="1" applyFill="1" applyBorder="1" applyAlignment="1">
      <alignment horizontal="center" vertical="center"/>
    </xf>
    <xf numFmtId="3" fontId="45" fillId="3" borderId="19" xfId="0" applyNumberFormat="1" applyFont="1" applyFill="1" applyBorder="1" applyAlignment="1">
      <alignment horizontal="center" vertical="center" wrapText="1" shrinkToFit="1"/>
    </xf>
    <xf numFmtId="0" fontId="17" fillId="0" borderId="19" xfId="0" applyFont="1" applyBorder="1" applyAlignment="1">
      <alignment horizontal="center" vertical="center"/>
    </xf>
    <xf numFmtId="3" fontId="94" fillId="3" borderId="19" xfId="0" applyNumberFormat="1" applyFont="1" applyFill="1" applyBorder="1" applyAlignment="1">
      <alignment horizontal="center" vertical="center" wrapText="1" shrinkToFit="1"/>
    </xf>
    <xf numFmtId="0" fontId="17" fillId="0" borderId="102" xfId="0" applyFont="1" applyBorder="1" applyAlignment="1">
      <alignment vertical="center"/>
    </xf>
    <xf numFmtId="0" fontId="0" fillId="0" borderId="27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1" fontId="81" fillId="3" borderId="32" xfId="0" applyNumberFormat="1" applyFont="1" applyFill="1" applyBorder="1" applyAlignment="1">
      <alignment horizontal="center" vertical="center" wrapText="1"/>
    </xf>
    <xf numFmtId="175" fontId="0" fillId="3" borderId="6" xfId="21" applyNumberFormat="1" applyFont="1" applyFill="1" applyBorder="1" applyAlignment="1">
      <alignment horizontal="center" vertical="center" wrapText="1"/>
    </xf>
    <xf numFmtId="1" fontId="81" fillId="3" borderId="4" xfId="0" applyNumberFormat="1" applyFont="1" applyFill="1" applyBorder="1" applyAlignment="1">
      <alignment horizontal="center" vertical="center" wrapText="1"/>
    </xf>
    <xf numFmtId="0" fontId="14" fillId="3" borderId="65" xfId="0" applyFont="1" applyFill="1" applyBorder="1" applyAlignment="1">
      <alignment horizontal="center" vertical="center"/>
    </xf>
    <xf numFmtId="1" fontId="81" fillId="3" borderId="34" xfId="0" applyNumberFormat="1" applyFont="1" applyFill="1" applyBorder="1" applyAlignment="1">
      <alignment horizontal="center" vertical="center" wrapText="1"/>
    </xf>
    <xf numFmtId="175" fontId="81" fillId="3" borderId="5" xfId="21" applyNumberFormat="1" applyFont="1" applyFill="1" applyBorder="1" applyAlignment="1">
      <alignment horizontal="center" vertical="center" wrapText="1"/>
    </xf>
    <xf numFmtId="1" fontId="81" fillId="3" borderId="7" xfId="0" applyNumberFormat="1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/>
    </xf>
    <xf numFmtId="1" fontId="81" fillId="3" borderId="16" xfId="0" applyNumberFormat="1" applyFont="1" applyFill="1" applyBorder="1" applyAlignment="1">
      <alignment horizontal="center" vertical="center" wrapText="1"/>
    </xf>
    <xf numFmtId="175" fontId="81" fillId="3" borderId="17" xfId="21" applyNumberFormat="1" applyFont="1" applyFill="1" applyBorder="1" applyAlignment="1">
      <alignment horizontal="center" vertical="center" wrapText="1"/>
    </xf>
    <xf numFmtId="1" fontId="81" fillId="3" borderId="104" xfId="0" applyNumberFormat="1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/>
    </xf>
    <xf numFmtId="1" fontId="81" fillId="3" borderId="14" xfId="0" applyNumberFormat="1" applyFont="1" applyFill="1" applyBorder="1" applyAlignment="1">
      <alignment horizontal="center" vertical="center" wrapText="1"/>
    </xf>
    <xf numFmtId="175" fontId="0" fillId="3" borderId="15" xfId="21" applyNumberFormat="1" applyFont="1" applyFill="1" applyBorder="1" applyAlignment="1">
      <alignment horizontal="center" vertical="center" wrapText="1"/>
    </xf>
    <xf numFmtId="1" fontId="81" fillId="3" borderId="42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35" fillId="3" borderId="48" xfId="0" applyFont="1" applyFill="1" applyBorder="1" applyAlignment="1">
      <alignment vertical="center" wrapText="1"/>
    </xf>
    <xf numFmtId="0" fontId="35" fillId="3" borderId="83" xfId="0" applyFont="1" applyFill="1" applyBorder="1" applyAlignment="1">
      <alignment vertical="center" wrapText="1"/>
    </xf>
    <xf numFmtId="0" fontId="35" fillId="3" borderId="10" xfId="0" applyFont="1" applyFill="1" applyBorder="1" applyAlignment="1">
      <alignment vertical="center" wrapText="1"/>
    </xf>
    <xf numFmtId="0" fontId="35" fillId="3" borderId="47" xfId="0" applyFont="1" applyFill="1" applyBorder="1" applyAlignment="1">
      <alignment vertical="center" wrapText="1"/>
    </xf>
    <xf numFmtId="0" fontId="31" fillId="3" borderId="12" xfId="0" applyFont="1" applyFill="1" applyBorder="1" applyAlignment="1">
      <alignment horizontal="center" vertical="center" wrapText="1"/>
    </xf>
    <xf numFmtId="0" fontId="31" fillId="3" borderId="13" xfId="0" applyFont="1" applyFill="1" applyBorder="1" applyAlignment="1">
      <alignment horizontal="center" vertical="center" wrapText="1"/>
    </xf>
    <xf numFmtId="172" fontId="31" fillId="3" borderId="13" xfId="21" applyNumberFormat="1" applyFont="1" applyFill="1" applyBorder="1" applyAlignment="1">
      <alignment horizontal="center" vertical="center" wrapText="1"/>
    </xf>
    <xf numFmtId="0" fontId="37" fillId="3" borderId="8" xfId="0" applyFont="1" applyFill="1" applyBorder="1" applyAlignment="1">
      <alignment vertical="center" wrapText="1"/>
    </xf>
    <xf numFmtId="0" fontId="37" fillId="3" borderId="41" xfId="0" applyFont="1" applyFill="1" applyBorder="1" applyAlignment="1">
      <alignment vertical="center" wrapText="1"/>
    </xf>
    <xf numFmtId="0" fontId="37" fillId="3" borderId="8" xfId="0" applyFont="1" applyFill="1" applyBorder="1" applyAlignment="1">
      <alignment horizontal="center" vertical="center" wrapText="1"/>
    </xf>
    <xf numFmtId="0" fontId="37" fillId="3" borderId="20" xfId="0" applyFont="1" applyFill="1" applyBorder="1" applyAlignment="1">
      <alignment horizontal="center" vertical="center" wrapText="1"/>
    </xf>
    <xf numFmtId="0" fontId="82" fillId="3" borderId="12" xfId="0" applyFont="1" applyFill="1" applyBorder="1" applyAlignment="1">
      <alignment horizontal="center" vertical="center" wrapText="1"/>
    </xf>
    <xf numFmtId="0" fontId="82" fillId="3" borderId="13" xfId="0" applyFont="1" applyFill="1" applyBorder="1" applyAlignment="1">
      <alignment horizontal="center" vertical="center" wrapText="1"/>
    </xf>
    <xf numFmtId="0" fontId="34" fillId="3" borderId="48" xfId="0" applyFont="1" applyFill="1" applyBorder="1" applyAlignment="1">
      <alignment vertical="center" wrapText="1"/>
    </xf>
    <xf numFmtId="0" fontId="34" fillId="3" borderId="49" xfId="0" applyFont="1" applyFill="1" applyBorder="1" applyAlignment="1">
      <alignment vertical="center" wrapText="1"/>
    </xf>
    <xf numFmtId="0" fontId="44" fillId="3" borderId="14" xfId="0" applyFont="1" applyFill="1" applyBorder="1" applyAlignment="1">
      <alignment horizontal="center" vertical="center" wrapText="1"/>
    </xf>
    <xf numFmtId="0" fontId="34" fillId="3" borderId="14" xfId="0" applyFont="1" applyFill="1" applyBorder="1" applyAlignment="1">
      <alignment vertical="center" wrapText="1"/>
    </xf>
    <xf numFmtId="0" fontId="81" fillId="3" borderId="14" xfId="0" applyFont="1" applyFill="1" applyBorder="1" applyAlignment="1">
      <alignment horizontal="center" vertical="center" wrapText="1"/>
    </xf>
    <xf numFmtId="175" fontId="81" fillId="3" borderId="15" xfId="21" applyNumberFormat="1" applyFont="1" applyFill="1" applyBorder="1" applyAlignment="1">
      <alignment horizontal="center" vertical="center" wrapText="1"/>
    </xf>
    <xf numFmtId="175" fontId="81" fillId="3" borderId="15" xfId="0" applyNumberFormat="1" applyFont="1" applyFill="1" applyBorder="1" applyAlignment="1">
      <alignment horizontal="center" vertical="center" wrapText="1"/>
    </xf>
    <xf numFmtId="0" fontId="14" fillId="3" borderId="77" xfId="0" applyFont="1" applyFill="1" applyBorder="1" applyAlignment="1">
      <alignment horizontal="center" vertical="center"/>
    </xf>
    <xf numFmtId="0" fontId="34" fillId="3" borderId="50" xfId="0" applyFont="1" applyFill="1" applyBorder="1" applyAlignment="1">
      <alignment vertical="center" wrapText="1"/>
    </xf>
    <xf numFmtId="0" fontId="34" fillId="3" borderId="51" xfId="0" applyFont="1" applyFill="1" applyBorder="1" applyAlignment="1">
      <alignment vertical="center" wrapText="1"/>
    </xf>
    <xf numFmtId="0" fontId="44" fillId="3" borderId="9" xfId="0" applyFont="1" applyFill="1" applyBorder="1" applyAlignment="1">
      <alignment horizontal="center" vertical="center" wrapText="1"/>
    </xf>
    <xf numFmtId="0" fontId="34" fillId="3" borderId="9" xfId="0" applyFont="1" applyFill="1" applyBorder="1" applyAlignment="1">
      <alignment vertical="center" wrapText="1"/>
    </xf>
    <xf numFmtId="0" fontId="81" fillId="3" borderId="9" xfId="0" applyFont="1" applyFill="1" applyBorder="1" applyAlignment="1">
      <alignment horizontal="center" vertical="center" wrapText="1"/>
    </xf>
    <xf numFmtId="175" fontId="81" fillId="3" borderId="1" xfId="21" applyNumberFormat="1" applyFont="1" applyFill="1" applyBorder="1" applyAlignment="1">
      <alignment horizontal="center" vertical="center" wrapText="1"/>
    </xf>
    <xf numFmtId="175" fontId="81" fillId="3" borderId="1" xfId="0" applyNumberFormat="1" applyFont="1" applyFill="1" applyBorder="1" applyAlignment="1">
      <alignment horizontal="center" vertical="center" wrapText="1"/>
    </xf>
    <xf numFmtId="0" fontId="34" fillId="3" borderId="10" xfId="0" applyFont="1" applyFill="1" applyBorder="1" applyAlignment="1">
      <alignment vertical="center" wrapText="1"/>
    </xf>
    <xf numFmtId="0" fontId="34" fillId="3" borderId="46" xfId="0" applyFont="1" applyFill="1" applyBorder="1" applyAlignment="1">
      <alignment vertical="center" wrapText="1"/>
    </xf>
    <xf numFmtId="0" fontId="44" fillId="3" borderId="16" xfId="0" applyFont="1" applyFill="1" applyBorder="1" applyAlignment="1">
      <alignment horizontal="center" vertical="center" wrapText="1"/>
    </xf>
    <xf numFmtId="0" fontId="34" fillId="3" borderId="16" xfId="0" applyFont="1" applyFill="1" applyBorder="1" applyAlignment="1">
      <alignment vertical="center" wrapText="1"/>
    </xf>
    <xf numFmtId="0" fontId="81" fillId="3" borderId="16" xfId="0" applyFont="1" applyFill="1" applyBorder="1" applyAlignment="1">
      <alignment horizontal="center" vertical="center" wrapText="1"/>
    </xf>
    <xf numFmtId="175" fontId="81" fillId="3" borderId="17" xfId="0" applyNumberFormat="1" applyFont="1" applyFill="1" applyBorder="1" applyAlignment="1">
      <alignment horizontal="center" vertical="center" wrapText="1"/>
    </xf>
    <xf numFmtId="0" fontId="14" fillId="3" borderId="82" xfId="0" applyFont="1" applyFill="1" applyBorder="1" applyAlignment="1">
      <alignment horizontal="center" vertical="center"/>
    </xf>
    <xf numFmtId="0" fontId="32" fillId="3" borderId="8" xfId="0" applyFont="1" applyFill="1" applyBorder="1" applyAlignment="1">
      <alignment vertical="center" wrapText="1"/>
    </xf>
    <xf numFmtId="0" fontId="32" fillId="3" borderId="41" xfId="0" applyFont="1" applyFill="1" applyBorder="1" applyAlignment="1">
      <alignment vertical="center" wrapText="1"/>
    </xf>
    <xf numFmtId="0" fontId="37" fillId="3" borderId="10" xfId="0" applyFont="1" applyFill="1" applyBorder="1" applyAlignment="1">
      <alignment horizontal="center" vertical="center" wrapText="1"/>
    </xf>
    <xf numFmtId="1" fontId="82" fillId="3" borderId="12" xfId="0" applyNumberFormat="1" applyFont="1" applyFill="1" applyBorder="1" applyAlignment="1">
      <alignment horizontal="center" vertical="center" wrapText="1"/>
    </xf>
    <xf numFmtId="1" fontId="82" fillId="3" borderId="13" xfId="0" applyNumberFormat="1" applyFont="1" applyFill="1" applyBorder="1" applyAlignment="1">
      <alignment horizontal="center" vertical="center" wrapText="1"/>
    </xf>
    <xf numFmtId="0" fontId="14" fillId="3" borderId="70" xfId="0" applyFont="1" applyFill="1" applyBorder="1" applyAlignment="1">
      <alignment horizontal="center" vertical="center"/>
    </xf>
    <xf numFmtId="0" fontId="49" fillId="3" borderId="73" xfId="0" applyFont="1" applyFill="1" applyBorder="1" applyAlignment="1">
      <alignment horizontal="center" vertical="center" wrapText="1"/>
    </xf>
    <xf numFmtId="0" fontId="34" fillId="3" borderId="85" xfId="0" applyFont="1" applyFill="1" applyBorder="1" applyAlignment="1">
      <alignment horizontal="center" vertical="center" wrapText="1"/>
    </xf>
    <xf numFmtId="0" fontId="0" fillId="3" borderId="77" xfId="0" applyFont="1" applyFill="1" applyBorder="1" applyAlignment="1">
      <alignment horizontal="center" vertical="center"/>
    </xf>
    <xf numFmtId="0" fontId="30" fillId="3" borderId="75" xfId="0" applyFont="1" applyFill="1" applyBorder="1" applyAlignment="1">
      <alignment horizontal="center" vertical="center" wrapText="1"/>
    </xf>
    <xf numFmtId="0" fontId="30" fillId="3" borderId="2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30" fillId="3" borderId="109" xfId="0" applyFont="1" applyFill="1" applyBorder="1" applyAlignment="1">
      <alignment horizontal="center" vertical="center" wrapText="1"/>
    </xf>
    <xf numFmtId="0" fontId="44" fillId="3" borderId="75" xfId="0" applyFont="1" applyFill="1" applyBorder="1" applyAlignment="1">
      <alignment horizontal="center" vertical="center" wrapText="1"/>
    </xf>
    <xf numFmtId="0" fontId="34" fillId="3" borderId="21" xfId="0" applyFont="1" applyFill="1" applyBorder="1" applyAlignment="1">
      <alignment horizontal="center" vertical="center" wrapText="1"/>
    </xf>
    <xf numFmtId="1" fontId="81" fillId="3" borderId="9" xfId="0" applyNumberFormat="1" applyFont="1" applyFill="1" applyBorder="1" applyAlignment="1">
      <alignment horizontal="center" vertical="center" wrapText="1"/>
    </xf>
    <xf numFmtId="1" fontId="81" fillId="3" borderId="3" xfId="0" applyNumberFormat="1" applyFont="1" applyFill="1" applyBorder="1" applyAlignment="1">
      <alignment horizontal="center" vertical="center" wrapText="1"/>
    </xf>
    <xf numFmtId="0" fontId="34" fillId="3" borderId="75" xfId="0" applyFont="1" applyFill="1" applyBorder="1" applyAlignment="1">
      <alignment horizontal="left" vertical="center" wrapText="1"/>
    </xf>
    <xf numFmtId="0" fontId="34" fillId="3" borderId="75" xfId="0" applyFont="1" applyFill="1" applyBorder="1" applyAlignment="1">
      <alignment horizontal="center" vertical="center" wrapText="1"/>
    </xf>
    <xf numFmtId="0" fontId="34" fillId="3" borderId="79" xfId="0" applyFont="1" applyFill="1" applyBorder="1" applyAlignment="1">
      <alignment horizontal="left" vertical="center" wrapText="1"/>
    </xf>
    <xf numFmtId="0" fontId="34" fillId="3" borderId="91" xfId="0" applyFont="1" applyFill="1" applyBorder="1" applyAlignment="1">
      <alignment horizontal="center" vertical="center" wrapText="1"/>
    </xf>
    <xf numFmtId="0" fontId="30" fillId="3" borderId="48" xfId="0" applyFont="1" applyFill="1" applyBorder="1" applyAlignment="1">
      <alignment vertical="center" wrapText="1"/>
    </xf>
    <xf numFmtId="0" fontId="30" fillId="3" borderId="49" xfId="0" applyFont="1" applyFill="1" applyBorder="1" applyAlignment="1">
      <alignment vertical="center" wrapText="1"/>
    </xf>
    <xf numFmtId="0" fontId="34" fillId="3" borderId="73" xfId="0" applyFont="1" applyFill="1" applyBorder="1" applyAlignment="1">
      <alignment horizontal="center" vertical="center" wrapText="1"/>
    </xf>
    <xf numFmtId="0" fontId="30" fillId="3" borderId="50" xfId="0" applyFont="1" applyFill="1" applyBorder="1" applyAlignment="1">
      <alignment vertical="center" wrapText="1"/>
    </xf>
    <xf numFmtId="0" fontId="30" fillId="3" borderId="51" xfId="0" applyFont="1" applyFill="1" applyBorder="1" applyAlignment="1">
      <alignment vertical="center" wrapText="1"/>
    </xf>
    <xf numFmtId="0" fontId="50" fillId="3" borderId="75" xfId="0" applyFont="1" applyFill="1" applyBorder="1" applyAlignment="1">
      <alignment horizontal="center" vertical="center" wrapText="1"/>
    </xf>
    <xf numFmtId="0" fontId="34" fillId="3" borderId="80" xfId="0" applyFont="1" applyFill="1" applyBorder="1" applyAlignment="1">
      <alignment horizontal="center" vertical="center" wrapText="1"/>
    </xf>
    <xf numFmtId="0" fontId="47" fillId="3" borderId="79" xfId="0" applyFont="1" applyFill="1" applyBorder="1" applyAlignment="1">
      <alignment horizontal="left" vertical="center" wrapText="1"/>
    </xf>
    <xf numFmtId="0" fontId="34" fillId="3" borderId="22" xfId="0" applyFont="1" applyFill="1" applyBorder="1" applyAlignment="1">
      <alignment horizontal="center" vertical="center" wrapText="1"/>
    </xf>
    <xf numFmtId="0" fontId="0" fillId="3" borderId="111" xfId="0" applyFont="1" applyFill="1" applyBorder="1" applyAlignment="1">
      <alignment horizontal="center" vertical="center"/>
    </xf>
    <xf numFmtId="0" fontId="49" fillId="3" borderId="8" xfId="0" applyFont="1" applyFill="1" applyBorder="1" applyAlignment="1">
      <alignment horizontal="center" vertical="center" wrapText="1"/>
    </xf>
    <xf numFmtId="0" fontId="49" fillId="3" borderId="80" xfId="0" applyFont="1" applyFill="1" applyBorder="1" applyAlignment="1">
      <alignment horizontal="center" vertical="center" wrapText="1"/>
    </xf>
    <xf numFmtId="173" fontId="0" fillId="3" borderId="77" xfId="0" applyNumberFormat="1" applyFont="1" applyFill="1" applyBorder="1" applyAlignment="1">
      <alignment horizontal="center" vertical="center"/>
    </xf>
    <xf numFmtId="0" fontId="47" fillId="3" borderId="75" xfId="0" applyFont="1" applyFill="1" applyBorder="1" applyAlignment="1">
      <alignment horizontal="left" vertical="center" wrapText="1"/>
    </xf>
    <xf numFmtId="0" fontId="49" fillId="3" borderId="75" xfId="0" applyFont="1" applyFill="1" applyBorder="1" applyAlignment="1">
      <alignment horizontal="center" vertical="center" wrapText="1"/>
    </xf>
    <xf numFmtId="0" fontId="46" fillId="3" borderId="50" xfId="0" applyFont="1" applyFill="1" applyBorder="1" applyAlignment="1">
      <alignment vertical="center" wrapText="1"/>
    </xf>
    <xf numFmtId="0" fontId="46" fillId="3" borderId="51" xfId="0" applyFont="1" applyFill="1" applyBorder="1" applyAlignment="1">
      <alignment vertical="center" wrapText="1"/>
    </xf>
    <xf numFmtId="0" fontId="48" fillId="3" borderId="79" xfId="0" applyFont="1" applyFill="1" applyBorder="1" applyAlignment="1">
      <alignment horizontal="left" vertical="center" wrapText="1"/>
    </xf>
    <xf numFmtId="0" fontId="50" fillId="3" borderId="80" xfId="0" applyFont="1" applyFill="1" applyBorder="1" applyAlignment="1">
      <alignment horizontal="center" vertical="center" wrapText="1"/>
    </xf>
    <xf numFmtId="0" fontId="98" fillId="3" borderId="75" xfId="0" applyFont="1" applyFill="1" applyBorder="1" applyAlignment="1">
      <alignment horizontal="left" vertical="center" wrapText="1"/>
    </xf>
    <xf numFmtId="0" fontId="100" fillId="3" borderId="103" xfId="0" applyFont="1" applyFill="1" applyBorder="1" applyAlignment="1">
      <alignment horizontal="center" vertical="center" wrapText="1"/>
    </xf>
    <xf numFmtId="1" fontId="30" fillId="3" borderId="75" xfId="0" applyNumberFormat="1" applyFont="1" applyFill="1" applyBorder="1" applyAlignment="1">
      <alignment horizontal="center" vertical="center" wrapText="1"/>
    </xf>
    <xf numFmtId="0" fontId="3" fillId="3" borderId="103" xfId="0" applyFont="1" applyFill="1" applyBorder="1" applyAlignment="1">
      <alignment horizontal="left" vertical="center" wrapText="1"/>
    </xf>
    <xf numFmtId="1" fontId="82" fillId="3" borderId="9" xfId="0" applyNumberFormat="1" applyFont="1" applyFill="1" applyBorder="1" applyAlignment="1">
      <alignment horizontal="center" vertical="center" wrapText="1"/>
    </xf>
    <xf numFmtId="175" fontId="82" fillId="3" borderId="1" xfId="21" applyNumberFormat="1" applyFont="1" applyFill="1" applyBorder="1" applyAlignment="1">
      <alignment horizontal="center" vertical="center" wrapText="1"/>
    </xf>
    <xf numFmtId="1" fontId="82" fillId="3" borderId="3" xfId="0" applyNumberFormat="1" applyFont="1" applyFill="1" applyBorder="1" applyAlignment="1">
      <alignment horizontal="center" vertical="center" wrapText="1"/>
    </xf>
    <xf numFmtId="173" fontId="14" fillId="3" borderId="77" xfId="0" applyNumberFormat="1" applyFont="1" applyFill="1" applyBorder="1" applyAlignment="1">
      <alignment horizontal="center" vertical="center"/>
    </xf>
    <xf numFmtId="0" fontId="51" fillId="3" borderId="75" xfId="0" applyFont="1" applyFill="1" applyBorder="1" applyAlignment="1">
      <alignment horizontal="center" vertical="center" wrapText="1"/>
    </xf>
    <xf numFmtId="0" fontId="49" fillId="3" borderId="8" xfId="0" applyFont="1" applyFill="1" applyBorder="1" applyAlignment="1">
      <alignment horizontal="left" vertical="center" wrapText="1"/>
    </xf>
    <xf numFmtId="0" fontId="30" fillId="3" borderId="8" xfId="0" applyFont="1" applyFill="1" applyBorder="1" applyAlignment="1">
      <alignment vertical="center"/>
    </xf>
    <xf numFmtId="0" fontId="30" fillId="3" borderId="45" xfId="0" applyFont="1" applyFill="1" applyBorder="1" applyAlignment="1">
      <alignment vertical="center"/>
    </xf>
    <xf numFmtId="0" fontId="30" fillId="3" borderId="41" xfId="0" applyFont="1" applyFill="1" applyBorder="1" applyAlignment="1">
      <alignment vertical="center"/>
    </xf>
    <xf numFmtId="0" fontId="46" fillId="3" borderId="10" xfId="0" applyFont="1" applyFill="1" applyBorder="1" applyAlignment="1">
      <alignment vertical="center" wrapText="1"/>
    </xf>
    <xf numFmtId="0" fontId="46" fillId="3" borderId="46" xfId="0" applyFont="1" applyFill="1" applyBorder="1" applyAlignment="1">
      <alignment vertical="center" wrapText="1"/>
    </xf>
    <xf numFmtId="0" fontId="37" fillId="3" borderId="45" xfId="0" applyFont="1" applyFill="1" applyBorder="1" applyAlignment="1">
      <alignment horizontal="center" vertical="center" wrapText="1"/>
    </xf>
    <xf numFmtId="1" fontId="82" fillId="3" borderId="56" xfId="0" applyNumberFormat="1" applyFont="1" applyFill="1" applyBorder="1" applyAlignment="1">
      <alignment horizontal="center" vertical="center" wrapText="1"/>
    </xf>
    <xf numFmtId="0" fontId="52" fillId="3" borderId="0" xfId="0" applyFont="1" applyFill="1" applyAlignment="1">
      <alignment horizontal="left" vertical="center"/>
    </xf>
    <xf numFmtId="0" fontId="52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175" fontId="0" fillId="3" borderId="0" xfId="21" applyNumberFormat="1" applyFont="1" applyFill="1" applyAlignment="1">
      <alignment horizontal="center" vertical="center"/>
    </xf>
    <xf numFmtId="172" fontId="0" fillId="3" borderId="0" xfId="21" applyNumberFormat="1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30" fillId="3" borderId="8" xfId="0" applyFont="1" applyFill="1" applyBorder="1" applyAlignment="1">
      <alignment horizontal="left" vertical="center"/>
    </xf>
    <xf numFmtId="0" fontId="30" fillId="3" borderId="45" xfId="0" applyFont="1" applyFill="1" applyBorder="1" applyAlignment="1">
      <alignment horizontal="left" vertical="center"/>
    </xf>
    <xf numFmtId="0" fontId="30" fillId="3" borderId="41" xfId="0" applyFont="1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30" fillId="3" borderId="45" xfId="0" applyFont="1" applyFill="1" applyBorder="1" applyAlignment="1">
      <alignment horizontal="right" vertical="center"/>
    </xf>
    <xf numFmtId="175" fontId="17" fillId="4" borderId="8" xfId="21" applyNumberFormat="1" applyFont="1" applyFill="1" applyBorder="1" applyAlignment="1">
      <alignment horizontal="right" vertical="center" wrapText="1"/>
    </xf>
    <xf numFmtId="175" fontId="17" fillId="4" borderId="45" xfId="21" applyNumberFormat="1" applyFont="1" applyFill="1" applyBorder="1" applyAlignment="1">
      <alignment horizontal="right" vertical="center" wrapText="1"/>
    </xf>
    <xf numFmtId="175" fontId="17" fillId="4" borderId="41" xfId="21" applyNumberFormat="1" applyFont="1" applyFill="1" applyBorder="1" applyAlignment="1">
      <alignment horizontal="right" vertical="center" wrapText="1"/>
    </xf>
    <xf numFmtId="175" fontId="17" fillId="4" borderId="48" xfId="21" applyNumberFormat="1" applyFont="1" applyFill="1" applyBorder="1" applyAlignment="1">
      <alignment horizontal="right" vertical="center" wrapText="1"/>
    </xf>
    <xf numFmtId="175" fontId="17" fillId="4" borderId="83" xfId="21" applyNumberFormat="1" applyFont="1" applyFill="1" applyBorder="1" applyAlignment="1">
      <alignment horizontal="right" vertical="center" wrapText="1"/>
    </xf>
    <xf numFmtId="175" fontId="82" fillId="4" borderId="69" xfId="21" applyNumberFormat="1" applyFont="1" applyFill="1" applyBorder="1" applyAlignment="1">
      <alignment horizontal="center" vertical="center" wrapText="1"/>
    </xf>
    <xf numFmtId="175" fontId="82" fillId="4" borderId="64" xfId="21" applyNumberFormat="1" applyFont="1" applyFill="1" applyBorder="1" applyAlignment="1">
      <alignment horizontal="center" vertical="center" wrapText="1"/>
    </xf>
    <xf numFmtId="175" fontId="65" fillId="4" borderId="48" xfId="21" applyNumberFormat="1" applyFont="1" applyFill="1" applyBorder="1" applyAlignment="1">
      <alignment horizontal="right" vertical="center" wrapText="1"/>
    </xf>
    <xf numFmtId="175" fontId="65" fillId="4" borderId="83" xfId="21" applyNumberFormat="1" applyFont="1" applyFill="1" applyBorder="1" applyAlignment="1">
      <alignment horizontal="right" vertical="center" wrapText="1"/>
    </xf>
    <xf numFmtId="175" fontId="65" fillId="4" borderId="10" xfId="21" applyNumberFormat="1" applyFont="1" applyFill="1" applyBorder="1" applyAlignment="1">
      <alignment horizontal="right" vertical="center" wrapText="1"/>
    </xf>
    <xf numFmtId="175" fontId="65" fillId="4" borderId="47" xfId="21" applyNumberFormat="1" applyFont="1" applyFill="1" applyBorder="1" applyAlignment="1">
      <alignment horizontal="right" vertical="center" wrapText="1"/>
    </xf>
    <xf numFmtId="0" fontId="17" fillId="4" borderId="0" xfId="0" applyFont="1" applyFill="1" applyAlignment="1">
      <alignment horizontal="center" vertical="center" wrapText="1"/>
    </xf>
    <xf numFmtId="0" fontId="31" fillId="0" borderId="72" xfId="0" applyFont="1" applyBorder="1" applyAlignment="1">
      <alignment horizontal="center" vertical="center" wrapText="1"/>
    </xf>
    <xf numFmtId="0" fontId="31" fillId="0" borderId="92" xfId="0" applyFont="1" applyBorder="1" applyAlignment="1">
      <alignment horizontal="center" vertical="center" wrapText="1"/>
    </xf>
    <xf numFmtId="0" fontId="75" fillId="0" borderId="94" xfId="0" applyFont="1" applyBorder="1" applyAlignment="1">
      <alignment horizontal="center" vertical="center" wrapText="1"/>
    </xf>
    <xf numFmtId="0" fontId="75" fillId="0" borderId="25" xfId="0" applyFont="1" applyBorder="1" applyAlignment="1">
      <alignment horizontal="center" vertical="center" wrapText="1"/>
    </xf>
    <xf numFmtId="0" fontId="75" fillId="0" borderId="8" xfId="0" applyFont="1" applyBorder="1" applyAlignment="1">
      <alignment horizontal="center" vertical="center" wrapText="1"/>
    </xf>
    <xf numFmtId="0" fontId="75" fillId="0" borderId="45" xfId="0" applyFont="1" applyBorder="1" applyAlignment="1">
      <alignment horizontal="center" vertical="center" wrapText="1"/>
    </xf>
    <xf numFmtId="0" fontId="75" fillId="0" borderId="41" xfId="0" applyFont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80" fillId="0" borderId="8" xfId="0" applyFont="1" applyBorder="1" applyAlignment="1">
      <alignment horizontal="center" vertical="center" wrapText="1"/>
    </xf>
    <xf numFmtId="0" fontId="80" fillId="0" borderId="45" xfId="0" applyFont="1" applyBorder="1" applyAlignment="1">
      <alignment horizontal="center" vertical="center" wrapText="1"/>
    </xf>
    <xf numFmtId="0" fontId="80" fillId="0" borderId="41" xfId="0" applyFont="1" applyBorder="1" applyAlignment="1">
      <alignment horizontal="center" vertical="center" wrapText="1"/>
    </xf>
    <xf numFmtId="0" fontId="82" fillId="0" borderId="8" xfId="0" applyFont="1" applyBorder="1" applyAlignment="1">
      <alignment horizontal="center" vertical="center" wrapText="1"/>
    </xf>
    <xf numFmtId="0" fontId="82" fillId="0" borderId="45" xfId="0" applyFont="1" applyBorder="1" applyAlignment="1">
      <alignment horizontal="center" vertical="center" wrapText="1"/>
    </xf>
    <xf numFmtId="0" fontId="82" fillId="0" borderId="41" xfId="0" applyFont="1" applyBorder="1" applyAlignment="1">
      <alignment horizontal="center" vertical="center" wrapText="1"/>
    </xf>
    <xf numFmtId="0" fontId="30" fillId="0" borderId="72" xfId="0" applyFont="1" applyBorder="1" applyAlignment="1">
      <alignment horizontal="center" vertical="center" wrapText="1"/>
    </xf>
    <xf numFmtId="0" fontId="30" fillId="0" borderId="89" xfId="0" applyFont="1" applyBorder="1" applyAlignment="1">
      <alignment horizontal="center" vertical="center" wrapText="1"/>
    </xf>
    <xf numFmtId="0" fontId="77" fillId="0" borderId="72" xfId="0" applyFont="1" applyBorder="1" applyAlignment="1">
      <alignment horizontal="center" vertical="center" wrapText="1"/>
    </xf>
    <xf numFmtId="0" fontId="77" fillId="0" borderId="92" xfId="0" applyFont="1" applyBorder="1" applyAlignment="1">
      <alignment horizontal="center" vertical="center" wrapText="1"/>
    </xf>
    <xf numFmtId="0" fontId="27" fillId="4" borderId="0" xfId="0" applyFont="1" applyFill="1" applyAlignment="1">
      <alignment horizontal="center" vertical="center" wrapText="1"/>
    </xf>
    <xf numFmtId="0" fontId="93" fillId="0" borderId="57" xfId="0" applyFont="1" applyBorder="1" applyAlignment="1">
      <alignment horizontal="center" vertical="center" wrapText="1"/>
    </xf>
    <xf numFmtId="0" fontId="93" fillId="0" borderId="36" xfId="0" applyFont="1" applyBorder="1" applyAlignment="1">
      <alignment horizontal="center" vertical="center" wrapText="1"/>
    </xf>
    <xf numFmtId="0" fontId="80" fillId="0" borderId="62" xfId="0" applyFont="1" applyBorder="1" applyAlignment="1">
      <alignment horizontal="center" vertical="center" wrapText="1"/>
    </xf>
    <xf numFmtId="0" fontId="80" fillId="0" borderId="40" xfId="0" applyFont="1" applyBorder="1" applyAlignment="1">
      <alignment horizontal="center" vertical="center" wrapText="1"/>
    </xf>
    <xf numFmtId="0" fontId="17" fillId="0" borderId="102" xfId="0" applyFont="1" applyBorder="1" applyAlignment="1">
      <alignment horizontal="center" vertical="center"/>
    </xf>
    <xf numFmtId="0" fontId="47" fillId="3" borderId="73" xfId="0" applyFont="1" applyFill="1" applyBorder="1" applyAlignment="1">
      <alignment horizontal="center" vertical="center" wrapText="1"/>
    </xf>
    <xf numFmtId="0" fontId="47" fillId="3" borderId="106" xfId="0" applyFont="1" applyFill="1" applyBorder="1" applyAlignment="1">
      <alignment horizontal="center" vertical="center" wrapText="1"/>
    </xf>
    <xf numFmtId="0" fontId="48" fillId="3" borderId="76" xfId="0" applyFont="1" applyFill="1" applyBorder="1" applyAlignment="1">
      <alignment horizontal="center" vertical="center" wrapText="1"/>
    </xf>
    <xf numFmtId="0" fontId="48" fillId="3" borderId="105" xfId="0" applyFont="1" applyFill="1" applyBorder="1" applyAlignment="1">
      <alignment horizontal="center" vertical="center" wrapText="1"/>
    </xf>
    <xf numFmtId="0" fontId="44" fillId="3" borderId="10" xfId="0" applyFont="1" applyFill="1" applyBorder="1" applyAlignment="1">
      <alignment horizontal="center" vertical="center" wrapText="1"/>
    </xf>
    <xf numFmtId="0" fontId="44" fillId="3" borderId="47" xfId="0" applyFont="1" applyFill="1" applyBorder="1" applyAlignment="1">
      <alignment horizontal="center" vertical="center" wrapText="1"/>
    </xf>
    <xf numFmtId="0" fontId="44" fillId="3" borderId="110" xfId="0" applyFont="1" applyFill="1" applyBorder="1" applyAlignment="1">
      <alignment horizontal="center" vertical="center" wrapText="1"/>
    </xf>
    <xf numFmtId="0" fontId="47" fillId="3" borderId="80" xfId="0" applyFont="1" applyFill="1" applyBorder="1" applyAlignment="1">
      <alignment horizontal="center" vertical="center" wrapText="1"/>
    </xf>
    <xf numFmtId="0" fontId="47" fillId="3" borderId="107" xfId="0" applyFont="1" applyFill="1" applyBorder="1" applyAlignment="1">
      <alignment horizontal="center" vertical="center" wrapText="1"/>
    </xf>
    <xf numFmtId="0" fontId="48" fillId="3" borderId="79" xfId="0" applyFont="1" applyFill="1" applyBorder="1" applyAlignment="1">
      <alignment horizontal="center" vertical="center" wrapText="1"/>
    </xf>
    <xf numFmtId="0" fontId="48" fillId="3" borderId="108" xfId="0" applyFont="1" applyFill="1" applyBorder="1" applyAlignment="1">
      <alignment horizontal="center" vertical="center" wrapText="1"/>
    </xf>
    <xf numFmtId="0" fontId="36" fillId="3" borderId="23" xfId="0" applyFont="1" applyFill="1" applyBorder="1" applyAlignment="1">
      <alignment horizontal="left" vertical="center" wrapText="1"/>
    </xf>
    <xf numFmtId="0" fontId="36" fillId="3" borderId="44" xfId="0" applyFont="1" applyFill="1" applyBorder="1" applyAlignment="1">
      <alignment horizontal="left" vertical="center" wrapText="1"/>
    </xf>
    <xf numFmtId="0" fontId="44" fillId="3" borderId="8" xfId="0" applyFont="1" applyFill="1" applyBorder="1" applyAlignment="1">
      <alignment horizontal="center" vertical="center" wrapText="1"/>
    </xf>
    <xf numFmtId="0" fontId="44" fillId="3" borderId="45" xfId="0" applyFont="1" applyFill="1" applyBorder="1" applyAlignment="1">
      <alignment horizontal="center" vertical="center" wrapText="1"/>
    </xf>
    <xf numFmtId="0" fontId="44" fillId="3" borderId="41" xfId="0" applyFont="1" applyFill="1" applyBorder="1" applyAlignment="1">
      <alignment horizontal="center" vertical="center" wrapText="1"/>
    </xf>
    <xf numFmtId="0" fontId="36" fillId="3" borderId="49" xfId="0" applyFont="1" applyFill="1" applyBorder="1" applyAlignment="1">
      <alignment horizontal="center" vertical="center" wrapText="1"/>
    </xf>
    <xf numFmtId="0" fontId="36" fillId="3" borderId="46" xfId="0" applyFont="1" applyFill="1" applyBorder="1" applyAlignment="1">
      <alignment horizontal="center" vertical="center" wrapText="1"/>
    </xf>
    <xf numFmtId="0" fontId="37" fillId="3" borderId="8" xfId="0" applyFont="1" applyFill="1" applyBorder="1" applyAlignment="1">
      <alignment horizontal="center" vertical="center" wrapText="1"/>
    </xf>
    <xf numFmtId="0" fontId="37" fillId="3" borderId="45" xfId="0" applyFont="1" applyFill="1" applyBorder="1" applyAlignment="1">
      <alignment horizontal="center" vertical="center" wrapText="1"/>
    </xf>
    <xf numFmtId="165" fontId="17" fillId="0" borderId="0" xfId="21" applyFont="1" applyBorder="1" applyAlignment="1">
      <alignment horizontal="center" vertical="center" wrapText="1"/>
    </xf>
    <xf numFmtId="175" fontId="17" fillId="0" borderId="0" xfId="21" applyNumberFormat="1" applyFont="1" applyBorder="1" applyAlignment="1">
      <alignment horizontal="center" vertical="center" wrapText="1"/>
    </xf>
    <xf numFmtId="165" fontId="17" fillId="0" borderId="0" xfId="21" applyFont="1" applyAlignment="1">
      <alignment horizontal="center" vertical="center" wrapText="1"/>
    </xf>
    <xf numFmtId="175" fontId="17" fillId="0" borderId="0" xfId="21" applyNumberFormat="1" applyFont="1" applyAlignment="1">
      <alignment horizontal="center" vertical="center" wrapText="1"/>
    </xf>
    <xf numFmtId="0" fontId="17" fillId="7" borderId="0" xfId="0" applyFont="1" applyFill="1" applyAlignment="1">
      <alignment horizontal="center" vertical="center" wrapText="1"/>
    </xf>
    <xf numFmtId="0" fontId="44" fillId="4" borderId="8" xfId="0" applyFont="1" applyFill="1" applyBorder="1" applyAlignment="1">
      <alignment horizontal="center" vertical="center" wrapText="1"/>
    </xf>
    <xf numFmtId="0" fontId="44" fillId="4" borderId="41" xfId="0" applyFont="1" applyFill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textRotation="90" wrapText="1"/>
    </xf>
    <xf numFmtId="0" fontId="10" fillId="0" borderId="10" xfId="0" applyFont="1" applyBorder="1" applyAlignment="1">
      <alignment horizontal="center" vertical="center" textRotation="90" wrapText="1"/>
    </xf>
    <xf numFmtId="0" fontId="10" fillId="0" borderId="23" xfId="0" applyFont="1" applyBorder="1" applyAlignment="1">
      <alignment horizontal="center" vertical="center" textRotation="90" wrapText="1"/>
    </xf>
    <xf numFmtId="0" fontId="10" fillId="0" borderId="44" xfId="0" applyFont="1" applyBorder="1" applyAlignment="1">
      <alignment horizontal="center" vertical="center" textRotation="90" wrapText="1"/>
    </xf>
    <xf numFmtId="0" fontId="14" fillId="0" borderId="23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53" fillId="0" borderId="48" xfId="19" applyFont="1" applyBorder="1" applyAlignment="1">
      <alignment horizontal="center" vertical="center" wrapText="1"/>
    </xf>
    <xf numFmtId="0" fontId="53" fillId="0" borderId="50" xfId="19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1" fillId="0" borderId="41" xfId="0" applyFont="1" applyBorder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53" fillId="0" borderId="10" xfId="19" applyFont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0" fontId="59" fillId="0" borderId="8" xfId="19" applyFont="1" applyBorder="1" applyAlignment="1">
      <alignment horizontal="center" vertical="center" wrapText="1"/>
    </xf>
    <xf numFmtId="0" fontId="59" fillId="0" borderId="45" xfId="19" applyFont="1" applyBorder="1" applyAlignment="1">
      <alignment horizontal="center" vertical="center" wrapText="1"/>
    </xf>
    <xf numFmtId="0" fontId="59" fillId="0" borderId="41" xfId="19" applyFont="1" applyBorder="1" applyAlignment="1">
      <alignment horizontal="center" vertical="center" wrapText="1"/>
    </xf>
    <xf numFmtId="0" fontId="54" fillId="0" borderId="8" xfId="19" applyFont="1" applyBorder="1" applyAlignment="1">
      <alignment horizontal="center" vertical="center" wrapText="1"/>
    </xf>
    <xf numFmtId="0" fontId="54" fillId="0" borderId="45" xfId="19" applyFont="1" applyBorder="1" applyAlignment="1">
      <alignment horizontal="center" vertical="center" wrapText="1"/>
    </xf>
    <xf numFmtId="0" fontId="54" fillId="0" borderId="41" xfId="19" applyFont="1" applyBorder="1" applyAlignment="1">
      <alignment horizontal="center" vertical="center" wrapText="1"/>
    </xf>
    <xf numFmtId="0" fontId="71" fillId="0" borderId="8" xfId="19" applyFont="1" applyBorder="1" applyAlignment="1">
      <alignment horizontal="center" vertical="center" wrapText="1"/>
    </xf>
    <xf numFmtId="0" fontId="71" fillId="0" borderId="45" xfId="19" applyFont="1" applyBorder="1" applyAlignment="1">
      <alignment horizontal="center" vertical="center" wrapText="1"/>
    </xf>
    <xf numFmtId="0" fontId="71" fillId="0" borderId="41" xfId="19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165" fontId="17" fillId="0" borderId="83" xfId="21" applyFont="1" applyBorder="1" applyAlignment="1">
      <alignment horizontal="center" vertical="center" wrapText="1"/>
    </xf>
    <xf numFmtId="175" fontId="17" fillId="0" borderId="83" xfId="21" applyNumberFormat="1" applyFont="1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4" borderId="23" xfId="0" applyFont="1" applyFill="1" applyBorder="1" applyAlignment="1">
      <alignment horizontal="center" vertical="center" wrapText="1"/>
    </xf>
    <xf numFmtId="0" fontId="14" fillId="4" borderId="44" xfId="0" applyFont="1" applyFill="1" applyBorder="1" applyAlignment="1">
      <alignment horizontal="center" vertical="center" wrapText="1"/>
    </xf>
    <xf numFmtId="176" fontId="53" fillId="0" borderId="23" xfId="0" applyNumberFormat="1" applyFont="1" applyBorder="1" applyAlignment="1">
      <alignment horizontal="center" vertical="center" wrapText="1"/>
    </xf>
    <xf numFmtId="176" fontId="53" fillId="0" borderId="43" xfId="0" applyNumberFormat="1" applyFont="1" applyBorder="1" applyAlignment="1">
      <alignment horizontal="center" vertical="center" wrapText="1"/>
    </xf>
    <xf numFmtId="176" fontId="53" fillId="0" borderId="44" xfId="0" applyNumberFormat="1" applyFont="1" applyBorder="1" applyAlignment="1">
      <alignment horizontal="center" vertical="center" wrapText="1"/>
    </xf>
    <xf numFmtId="3" fontId="53" fillId="4" borderId="83" xfId="0" applyNumberFormat="1" applyFont="1" applyFill="1" applyBorder="1" applyAlignment="1">
      <alignment horizontal="center" vertical="center" wrapText="1"/>
    </xf>
    <xf numFmtId="3" fontId="29" fillId="0" borderId="0" xfId="0" applyNumberFormat="1" applyFont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0" fontId="57" fillId="0" borderId="44" xfId="0" applyFont="1" applyBorder="1" applyAlignment="1">
      <alignment horizontal="center" vertical="center" wrapText="1"/>
    </xf>
    <xf numFmtId="0" fontId="57" fillId="4" borderId="8" xfId="0" applyFont="1" applyFill="1" applyBorder="1" applyAlignment="1">
      <alignment horizontal="center" vertical="center" wrapText="1"/>
    </xf>
    <xf numFmtId="0" fontId="57" fillId="4" borderId="45" xfId="0" applyFont="1" applyFill="1" applyBorder="1" applyAlignment="1">
      <alignment horizontal="center" vertical="center" wrapText="1"/>
    </xf>
    <xf numFmtId="0" fontId="57" fillId="4" borderId="41" xfId="0" applyFont="1" applyFill="1" applyBorder="1" applyAlignment="1">
      <alignment horizontal="center" vertical="center" wrapText="1"/>
    </xf>
    <xf numFmtId="0" fontId="57" fillId="0" borderId="39" xfId="0" applyFont="1" applyBorder="1" applyAlignment="1">
      <alignment horizontal="center" vertical="center" wrapText="1"/>
    </xf>
    <xf numFmtId="0" fontId="57" fillId="0" borderId="26" xfId="0" applyFont="1" applyBorder="1" applyAlignment="1">
      <alignment horizontal="center" vertical="center" wrapText="1"/>
    </xf>
    <xf numFmtId="0" fontId="57" fillId="4" borderId="48" xfId="0" applyFont="1" applyFill="1" applyBorder="1" applyAlignment="1">
      <alignment horizontal="center" vertical="center" wrapText="1"/>
    </xf>
    <xf numFmtId="0" fontId="57" fillId="4" borderId="83" xfId="0" applyFont="1" applyFill="1" applyBorder="1" applyAlignment="1">
      <alignment horizontal="center" vertical="center" wrapText="1"/>
    </xf>
    <xf numFmtId="0" fontId="57" fillId="4" borderId="49" xfId="0" applyFont="1" applyFill="1" applyBorder="1" applyAlignment="1">
      <alignment horizontal="center" vertical="center" wrapText="1"/>
    </xf>
    <xf numFmtId="0" fontId="57" fillId="4" borderId="10" xfId="0" applyFont="1" applyFill="1" applyBorder="1" applyAlignment="1">
      <alignment horizontal="center" vertical="center" wrapText="1"/>
    </xf>
    <xf numFmtId="0" fontId="57" fillId="4" borderId="47" xfId="0" applyFont="1" applyFill="1" applyBorder="1" applyAlignment="1">
      <alignment horizontal="center" vertical="center" wrapText="1"/>
    </xf>
    <xf numFmtId="0" fontId="57" fillId="4" borderId="46" xfId="0" applyFont="1" applyFill="1" applyBorder="1" applyAlignment="1">
      <alignment horizontal="center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57" fillId="9" borderId="0" xfId="0" applyFont="1" applyFill="1" applyAlignment="1">
      <alignment horizontal="center" vertical="center" wrapText="1"/>
    </xf>
    <xf numFmtId="0" fontId="57" fillId="9" borderId="47" xfId="0" applyFont="1" applyFill="1" applyBorder="1" applyAlignment="1">
      <alignment horizontal="center" vertical="center" wrapText="1"/>
    </xf>
    <xf numFmtId="0" fontId="57" fillId="0" borderId="83" xfId="0" applyFont="1" applyBorder="1" applyAlignment="1">
      <alignment horizontal="center" vertical="center" wrapText="1"/>
    </xf>
    <xf numFmtId="0" fontId="57" fillId="0" borderId="47" xfId="0" applyFont="1" applyBorder="1" applyAlignment="1">
      <alignment horizontal="center" vertical="center" wrapText="1"/>
    </xf>
    <xf numFmtId="0" fontId="57" fillId="0" borderId="49" xfId="0" applyFont="1" applyBorder="1" applyAlignment="1">
      <alignment horizontal="center" vertical="center" wrapText="1"/>
    </xf>
    <xf numFmtId="0" fontId="57" fillId="0" borderId="46" xfId="0" applyFont="1" applyBorder="1" applyAlignment="1">
      <alignment horizontal="center" vertical="center" wrapText="1"/>
    </xf>
    <xf numFmtId="0" fontId="84" fillId="0" borderId="48" xfId="0" applyFont="1" applyBorder="1" applyAlignment="1">
      <alignment horizontal="center" vertical="center" wrapText="1"/>
    </xf>
    <xf numFmtId="0" fontId="84" fillId="0" borderId="10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3" fontId="28" fillId="3" borderId="27" xfId="0" applyNumberFormat="1" applyFont="1" applyFill="1" applyBorder="1" applyAlignment="1">
      <alignment horizontal="center" vertical="center" wrapText="1" shrinkToFit="1"/>
    </xf>
    <xf numFmtId="3" fontId="28" fillId="3" borderId="30" xfId="0" applyNumberFormat="1" applyFont="1" applyFill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88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42" fillId="0" borderId="23" xfId="0" applyFont="1" applyBorder="1" applyAlignment="1">
      <alignment horizontal="center" vertical="center" wrapText="1"/>
    </xf>
    <xf numFmtId="0" fontId="42" fillId="0" borderId="44" xfId="0" applyFont="1" applyBorder="1" applyAlignment="1">
      <alignment horizontal="center" vertical="center" wrapText="1"/>
    </xf>
    <xf numFmtId="0" fontId="14" fillId="0" borderId="8" xfId="0" applyFont="1" applyBorder="1" applyAlignment="1" applyProtection="1">
      <alignment horizontal="center" vertical="center" wrapText="1"/>
      <protection locked="0"/>
    </xf>
    <xf numFmtId="0" fontId="14" fillId="0" borderId="45" xfId="0" applyFont="1" applyBorder="1" applyAlignment="1" applyProtection="1">
      <alignment horizontal="center" vertical="center" wrapText="1"/>
      <protection locked="0"/>
    </xf>
    <xf numFmtId="0" fontId="14" fillId="0" borderId="41" xfId="0" applyFont="1" applyBorder="1" applyAlignment="1" applyProtection="1">
      <alignment horizontal="center" vertical="center" wrapText="1"/>
      <protection locked="0"/>
    </xf>
    <xf numFmtId="2" fontId="70" fillId="0" borderId="49" xfId="22" applyNumberFormat="1" applyFont="1" applyBorder="1" applyAlignment="1">
      <alignment horizontal="center" vertical="center" wrapText="1"/>
    </xf>
    <xf numFmtId="2" fontId="70" fillId="0" borderId="46" xfId="22" applyNumberFormat="1" applyFont="1" applyBorder="1" applyAlignment="1">
      <alignment horizontal="center" vertical="center" wrapText="1"/>
    </xf>
    <xf numFmtId="0" fontId="14" fillId="0" borderId="0" xfId="0" applyFont="1" applyAlignment="1" applyProtection="1">
      <alignment horizontal="center" vertical="center" wrapText="1"/>
      <protection locked="0"/>
    </xf>
    <xf numFmtId="0" fontId="70" fillId="0" borderId="83" xfId="0" applyFont="1" applyBorder="1" applyAlignment="1">
      <alignment horizontal="center" vertical="center" wrapText="1"/>
    </xf>
    <xf numFmtId="0" fontId="70" fillId="0" borderId="47" xfId="0" applyFont="1" applyBorder="1" applyAlignment="1">
      <alignment horizontal="center" vertical="center" wrapText="1"/>
    </xf>
    <xf numFmtId="0" fontId="70" fillId="0" borderId="23" xfId="0" applyFont="1" applyBorder="1" applyAlignment="1">
      <alignment horizontal="center" vertical="center" wrapText="1"/>
    </xf>
    <xf numFmtId="0" fontId="70" fillId="0" borderId="44" xfId="0" applyFont="1" applyBorder="1" applyAlignment="1">
      <alignment horizontal="center" vertical="center" wrapText="1"/>
    </xf>
    <xf numFmtId="0" fontId="39" fillId="0" borderId="48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19" fillId="0" borderId="0" xfId="6" applyFont="1" applyAlignment="1" applyProtection="1">
      <alignment horizontal="center" vertical="center" wrapText="1"/>
      <protection locked="0"/>
    </xf>
    <xf numFmtId="0" fontId="23" fillId="0" borderId="8" xfId="6" applyFont="1" applyBorder="1" applyAlignment="1" applyProtection="1">
      <alignment horizontal="center" vertical="center" wrapText="1"/>
      <protection locked="0"/>
    </xf>
    <xf numFmtId="0" fontId="23" fillId="0" borderId="45" xfId="6" applyFont="1" applyBorder="1" applyAlignment="1" applyProtection="1">
      <alignment horizontal="center" vertical="center" wrapText="1"/>
      <protection locked="0"/>
    </xf>
    <xf numFmtId="0" fontId="23" fillId="0" borderId="41" xfId="6" applyFont="1" applyBorder="1" applyAlignment="1" applyProtection="1">
      <alignment horizontal="center" vertical="center" wrapText="1"/>
      <protection locked="0"/>
    </xf>
    <xf numFmtId="0" fontId="23" fillId="0" borderId="5" xfId="6" applyFont="1" applyBorder="1" applyAlignment="1" applyProtection="1">
      <alignment horizontal="center" vertical="center" wrapText="1"/>
      <protection locked="0"/>
    </xf>
    <xf numFmtId="0" fontId="23" fillId="0" borderId="6" xfId="6" applyFont="1" applyBorder="1" applyAlignment="1" applyProtection="1">
      <alignment horizontal="center" vertical="center" wrapText="1"/>
      <protection locked="0"/>
    </xf>
    <xf numFmtId="0" fontId="57" fillId="0" borderId="0" xfId="0" applyFont="1" applyAlignment="1">
      <alignment horizontal="center" vertical="center" wrapText="1"/>
    </xf>
    <xf numFmtId="0" fontId="71" fillId="0" borderId="47" xfId="0" applyFont="1" applyBorder="1" applyAlignment="1">
      <alignment horizontal="center" vertical="center" wrapText="1"/>
    </xf>
    <xf numFmtId="0" fontId="13" fillId="7" borderId="47" xfId="0" applyFont="1" applyFill="1" applyBorder="1" applyAlignment="1">
      <alignment horizontal="center" vertical="center" wrapText="1"/>
    </xf>
  </cellXfs>
  <cellStyles count="23">
    <cellStyle name="Comma 2" xfId="1"/>
    <cellStyle name="Comma 2 2" xfId="2"/>
    <cellStyle name="Comma 3" xfId="3"/>
    <cellStyle name="Comma 4" xfId="4"/>
    <cellStyle name="dato" xfId="5"/>
    <cellStyle name="Îáû÷íûé_ÐÎÌÀÍ--Ø-8" xfId="6"/>
    <cellStyle name="Normal 2" xfId="7"/>
    <cellStyle name="Normal 2 2" xfId="8"/>
    <cellStyle name="Normal 3" xfId="9"/>
    <cellStyle name="Normal 3 2" xfId="10"/>
    <cellStyle name="Normal 4" xfId="11"/>
    <cellStyle name="Normal 4 2" xfId="12"/>
    <cellStyle name="Ôèíàíñîâûé [0]_ÃËÀØÀ" xfId="13"/>
    <cellStyle name="Ôèíàíñîâûé_ÃËÀØÀ" xfId="14"/>
    <cellStyle name="Òûñÿ÷è [0]_×èàòóðà Ô" xfId="15"/>
    <cellStyle name="Òûñÿ÷è_×èàòóðà Ô" xfId="16"/>
    <cellStyle name="Percent 2" xfId="17"/>
    <cellStyle name="Percent 3" xfId="18"/>
    <cellStyle name="Денежный" xfId="22" builtinId="4"/>
    <cellStyle name="Обычный" xfId="0" builtinId="0"/>
    <cellStyle name="Обычный 2" xfId="19"/>
    <cellStyle name="Обычный 2 2" xfId="20"/>
    <cellStyle name="Финансовый" xfId="2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1052;&#1086;&#1080;%20&#1044;&#1086;&#1082;&#1091;&#1084;&#1077;&#1085;&#1090;&#1099;\&#1044;&#1086;&#1093;&#1086;&#1076;&#1099;2000\&#1064;&#1077;&#1089;&#1088;&#1091;&#1083;&#1077;&#1073;&#1072;\&#1044;&#1054;&#1061;&#1054;&#1044;&#1067;%2004-1999%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ds\my%20doc\Biudjeti%20Gegma\2012%20gegma\Version%202\My%20Documents\Biudjeti%20Gegma\Normatiuli%20Aqti\Adjara%202005\cvlileba\roi%20dok\2002%20&#1041;&#1048;&#1059;&#1044;&#1046;&#1045;&#1058;&#1048;\&#1064;&#1077;&#1089;&#1088;&#1091;&#1083;&#1077;&#1073;&#1072;\12\1999%20&#1041;&#1048;&#1059;&#1044;&#1046;&#1045;&#1058;&#1048;\99%20%20&#1084;&#1080;&#1085;%20&#1089;&#1072;&#1073;,%20&#1088;&#1077;&#1079;&#1077;&#1088;&#1074;&#1080;&#108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ds\my%20doc\Biudjeti%20Gegma\2012%20gegma\Version%202\My%20Documents\Biudjeti%20Gegma\Normatiuli%20Aqti\Adjara%202005\cvlileba\roi%20dok\2002%20&#1041;&#1048;&#1059;&#1044;&#1046;&#1045;&#1058;&#1048;\&#1064;&#1077;&#1089;&#1088;&#1091;&#1083;&#1077;&#1073;&#1072;\12\2002-12%20&#1090;&#1074;&#1080;&#1089;%20&#1096;&#1077;&#1084;&#1086;&#1089;-&#1093;&#1072;&#1088;&#1076;&#1078;&#108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ds\my%20doc\Biudjeti%20Gegma\2012%20gegma\Version%202\My%20Documents\Biudjeti%20Gegma\Normatiuli%20Aqti\Adjara%202005\cvlileba\roi%20dok\2003%20&#1041;&#1048;&#1059;&#1044;&#1046;&#1045;&#1058;&#1048;\&#1064;&#1077;&#1089;&#1088;&#1091;&#1083;&#1077;&#1073;&#1072;\12\shesruleba2003-I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А ЗЕМЛЮ"/>
      <sheetName val="ИМУЩЕСТВО"/>
      <sheetName val="НА ПЕРЕДАЧУ ИМУЩЕСТВА"/>
      <sheetName val="ЭКОЛОГИЯ"/>
      <sheetName val="ПРИРОД, РЕСУРСИ"/>
      <sheetName val="МЕСТНЫЕ"/>
      <sheetName val="другие НЕНАЛОГОВЫЕ"/>
      <sheetName val="ПОДОХОДНЫЙ"/>
      <sheetName val="ПРИБЫЛЬ"/>
      <sheetName val="НДС"/>
      <sheetName val="НЕНАЛОГОВЫЕ"/>
      <sheetName val="ПРИВАТИЗАЦИЯ"/>
      <sheetName val="таможенний НДС"/>
      <sheetName val="таможенная пошлина"/>
      <sheetName val="таможенний акциз"/>
      <sheetName val="АКЦИЗ"/>
      <sheetName val="База2"/>
      <sheetName val="71"/>
      <sheetName val="54"/>
      <sheetName val="БАЗА"/>
      <sheetName val="районы"/>
      <sheetName val="АпрельСт"/>
      <sheetName val="АпрельСтБФ"/>
      <sheetName val="I кварталСт"/>
      <sheetName val="4твеСт"/>
      <sheetName val="АпрельДз"/>
      <sheetName val="АпрельДзБФ"/>
      <sheetName val="АпрельДзБФ (-186,5)"/>
      <sheetName val="I кварталДз"/>
      <sheetName val="4твеДз"/>
      <sheetName val="аджария"/>
      <sheetName val="сахееби"/>
      <sheetName val="ганацилеба"/>
      <sheetName val="ганацилеба 4тв"/>
      <sheetName val="Модуль2"/>
      <sheetName val="Модуль3"/>
      <sheetName val="Модуль4"/>
      <sheetName val="Модуль5"/>
      <sheetName val="Модуль7"/>
      <sheetName val="Модуль9"/>
      <sheetName val="Модуль1"/>
      <sheetName val="Модуль6"/>
      <sheetName val="Модуль8"/>
      <sheetName val="Модуль10"/>
      <sheetName val="Модуль11"/>
      <sheetName val="01-04Дз"/>
      <sheetName val="01-04Дз$"/>
      <sheetName val="01-04Дз3%"/>
      <sheetName val="05Дз"/>
      <sheetName val="05Дз$"/>
      <sheetName val="05Дз3%"/>
      <sheetName val="01,11"/>
      <sheetName val="02,12"/>
      <sheetName val="03,04,13"/>
      <sheetName val="05-09,14"/>
      <sheetName val="15"/>
      <sheetName val="16-22"/>
      <sheetName val="25"/>
      <sheetName val="25 (0)"/>
      <sheetName val="30"/>
      <sheetName val="31"/>
      <sheetName val="32"/>
      <sheetName val="04 (114)"/>
      <sheetName val="33"/>
      <sheetName val="34-35"/>
      <sheetName val="36"/>
      <sheetName val="95"/>
      <sheetName val="ШемСах"/>
      <sheetName val="formul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H2">
            <v>209669.90778857144</v>
          </cell>
        </row>
        <row r="3">
          <cell r="D3" t="str">
            <v>rjlb</v>
          </cell>
        </row>
        <row r="4">
          <cell r="X4">
            <v>796554.31285714277</v>
          </cell>
          <cell r="Y4">
            <v>557588.01899999997</v>
          </cell>
          <cell r="Z4">
            <v>209669.90778857144</v>
          </cell>
          <cell r="AA4">
            <v>29296.386068571432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ин резерви 5 тве "/>
      <sheetName val="чарби 5 тве"/>
      <sheetName val="мин резерви 6"/>
      <sheetName val="чарби 6"/>
      <sheetName val="чарби 7"/>
      <sheetName val="мин резерви  7"/>
      <sheetName val="чарби 8"/>
      <sheetName val="мин резерви 8 "/>
      <sheetName val="мосалоднели чарби "/>
      <sheetName val="мин резерви"/>
      <sheetName val="чарби"/>
      <sheetName val="Лист1"/>
      <sheetName val="чамонатвали"/>
      <sheetName val="реестри"/>
      <sheetName val="реестри (2)"/>
      <sheetName val="Г С"/>
      <sheetName val="гардамав"/>
      <sheetName val="Лист3"/>
      <sheetName val="капита "/>
      <sheetName val="Лист2"/>
      <sheetName val="економиа"/>
      <sheetName val="узен  резерв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62">
          <cell r="F62">
            <v>5323866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 (2)"/>
      <sheetName val="гегма"/>
      <sheetName val="ФОРМА"/>
      <sheetName val="N1"/>
      <sheetName val="N1-1"/>
      <sheetName val="N1-2"/>
      <sheetName val="N1-4"/>
      <sheetName val="N1-3"/>
      <sheetName val="N1-5"/>
      <sheetName val="N2"/>
      <sheetName val="N2-1"/>
      <sheetName val="N2-2"/>
      <sheetName val="N2-3"/>
      <sheetName val="N 3"/>
      <sheetName val="N3-1"/>
      <sheetName val="N3-2"/>
      <sheetName val="N3-3"/>
      <sheetName val="N3-5"/>
      <sheetName val="N3-4"/>
      <sheetName val="N3-6"/>
      <sheetName val="N3-7"/>
      <sheetName val="N3-8"/>
      <sheetName val="N3-9"/>
      <sheetName val="дацмух назард"/>
      <sheetName val="дацмух"/>
      <sheetName val="sul"/>
      <sheetName val="2001-2002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omber"/>
      <sheetName val="november"/>
      <sheetName val="december"/>
      <sheetName val="total 1"/>
      <sheetName val="ФОРМА"/>
      <sheetName val="ФОРМА (3)"/>
      <sheetName val="ФОРМА (2)"/>
      <sheetName val="ФОРМА (4)"/>
      <sheetName val="гег факти дарг"/>
      <sheetName val="total 1 (2)"/>
      <sheetName val="total 1 (3)"/>
      <sheetName val="total 1 (4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view="pageBreakPreview" topLeftCell="D1" zoomScaleSheetLayoutView="100" workbookViewId="0">
      <selection activeCell="T5" sqref="T5"/>
    </sheetView>
  </sheetViews>
  <sheetFormatPr defaultColWidth="9.140625" defaultRowHeight="15"/>
  <cols>
    <col min="1" max="1" width="4.85546875" style="7" customWidth="1"/>
    <col min="2" max="2" width="50.7109375" style="7" customWidth="1"/>
    <col min="3" max="3" width="7.28515625" style="44" customWidth="1"/>
    <col min="4" max="4" width="8.140625" style="54" customWidth="1"/>
    <col min="5" max="5" width="7.7109375" style="231" customWidth="1"/>
    <col min="6" max="6" width="0.28515625" style="7" hidden="1" customWidth="1"/>
    <col min="7" max="7" width="13.28515625" style="54" customWidth="1"/>
    <col min="8" max="8" width="7.85546875" style="44" customWidth="1"/>
    <col min="9" max="9" width="7.85546875" style="54" customWidth="1"/>
    <col min="10" max="10" width="7.7109375" style="231" customWidth="1"/>
    <col min="11" max="11" width="10" style="7" hidden="1" customWidth="1"/>
    <col min="12" max="12" width="12.7109375" style="54" customWidth="1"/>
    <col min="13" max="13" width="8.42578125" style="44" customWidth="1"/>
    <col min="14" max="14" width="8.28515625" style="54" customWidth="1"/>
    <col min="15" max="15" width="7.28515625" style="54" customWidth="1"/>
    <col min="16" max="16" width="0.140625" style="7" customWidth="1"/>
    <col min="17" max="17" width="12.85546875" style="54" customWidth="1"/>
    <col min="18" max="18" width="9.140625" style="7"/>
    <col min="19" max="19" width="10.28515625" style="7" bestFit="1" customWidth="1"/>
    <col min="20" max="20" width="12.5703125" style="7" customWidth="1"/>
    <col min="21" max="21" width="12.42578125" style="7" customWidth="1"/>
    <col min="22" max="22" width="11" style="7" customWidth="1"/>
    <col min="23" max="23" width="12.42578125" style="7" bestFit="1" customWidth="1"/>
    <col min="24" max="24" width="9.140625" style="7"/>
    <col min="25" max="25" width="17.85546875" style="7" customWidth="1"/>
    <col min="26" max="16384" width="9.140625" style="7"/>
  </cols>
  <sheetData>
    <row r="1" spans="1:26" ht="18.75" customHeight="1" thickBot="1">
      <c r="A1" s="706" t="s">
        <v>340</v>
      </c>
      <c r="B1" s="706"/>
      <c r="C1" s="706"/>
      <c r="D1" s="706"/>
      <c r="E1" s="706"/>
      <c r="F1" s="706"/>
      <c r="G1" s="706"/>
      <c r="H1" s="706"/>
      <c r="I1" s="706"/>
      <c r="J1" s="706"/>
      <c r="K1" s="706"/>
      <c r="L1" s="706"/>
      <c r="M1" s="706"/>
      <c r="N1" s="706"/>
      <c r="O1" s="706"/>
      <c r="P1" s="706"/>
      <c r="Q1" s="706"/>
    </row>
    <row r="2" spans="1:26" ht="22.5" customHeight="1" thickBot="1">
      <c r="A2" s="718" t="s">
        <v>60</v>
      </c>
      <c r="B2" s="720" t="s">
        <v>61</v>
      </c>
      <c r="C2" s="707" t="s">
        <v>367</v>
      </c>
      <c r="D2" s="708"/>
      <c r="E2" s="708"/>
      <c r="F2" s="708"/>
      <c r="G2" s="709"/>
      <c r="H2" s="707" t="s">
        <v>368</v>
      </c>
      <c r="I2" s="708"/>
      <c r="J2" s="708"/>
      <c r="K2" s="708"/>
      <c r="L2" s="709"/>
      <c r="M2" s="707" t="s">
        <v>349</v>
      </c>
      <c r="N2" s="708"/>
      <c r="O2" s="708"/>
      <c r="P2" s="708"/>
      <c r="Q2" s="709"/>
    </row>
    <row r="3" spans="1:26" s="1" customFormat="1" ht="63.75" customHeight="1" thickBot="1">
      <c r="A3" s="719"/>
      <c r="B3" s="721"/>
      <c r="C3" s="479" t="s">
        <v>62</v>
      </c>
      <c r="D3" s="480" t="s">
        <v>63</v>
      </c>
      <c r="E3" s="481" t="s">
        <v>351</v>
      </c>
      <c r="F3" s="482" t="s">
        <v>33</v>
      </c>
      <c r="G3" s="483" t="s">
        <v>32</v>
      </c>
      <c r="H3" s="479" t="s">
        <v>62</v>
      </c>
      <c r="I3" s="480" t="s">
        <v>63</v>
      </c>
      <c r="J3" s="481" t="s">
        <v>351</v>
      </c>
      <c r="K3" s="482" t="s">
        <v>33</v>
      </c>
      <c r="L3" s="483" t="s">
        <v>32</v>
      </c>
      <c r="M3" s="479" t="s">
        <v>62</v>
      </c>
      <c r="N3" s="480" t="s">
        <v>63</v>
      </c>
      <c r="O3" s="481" t="s">
        <v>351</v>
      </c>
      <c r="P3" s="482" t="s">
        <v>33</v>
      </c>
      <c r="Q3" s="483" t="s">
        <v>32</v>
      </c>
    </row>
    <row r="4" spans="1:26" s="449" customFormat="1" ht="22.5" customHeight="1">
      <c r="A4" s="472"/>
      <c r="B4" s="473" t="s">
        <v>64</v>
      </c>
      <c r="C4" s="474">
        <f>SUM(C5:C13)</f>
        <v>33</v>
      </c>
      <c r="D4" s="475" t="s">
        <v>12</v>
      </c>
      <c r="E4" s="475" t="s">
        <v>12</v>
      </c>
      <c r="F4" s="475">
        <f>SUM(F5:F13)</f>
        <v>79268</v>
      </c>
      <c r="G4" s="476">
        <f>SUM(G5:G13)</f>
        <v>951216</v>
      </c>
      <c r="H4" s="474">
        <f>SUM(H5:H13)</f>
        <v>33</v>
      </c>
      <c r="I4" s="475" t="s">
        <v>12</v>
      </c>
      <c r="J4" s="475" t="s">
        <v>12</v>
      </c>
      <c r="K4" s="475">
        <f>SUM(K5:K13)</f>
        <v>90374</v>
      </c>
      <c r="L4" s="476">
        <f>SUM(L5:L13)</f>
        <v>1084488</v>
      </c>
      <c r="M4" s="474">
        <f>SUM(M5:M13)</f>
        <v>0</v>
      </c>
      <c r="N4" s="475" t="s">
        <v>12</v>
      </c>
      <c r="O4" s="475" t="s">
        <v>12</v>
      </c>
      <c r="P4" s="475">
        <f>SUM(P5:P13)</f>
        <v>11105.999999999998</v>
      </c>
      <c r="Q4" s="476">
        <f>SUM(Q5:Q13)</f>
        <v>133271.99999999997</v>
      </c>
    </row>
    <row r="5" spans="1:26" ht="31.5" customHeight="1">
      <c r="A5" s="437">
        <v>1</v>
      </c>
      <c r="B5" s="438" t="s">
        <v>65</v>
      </c>
      <c r="C5" s="458">
        <v>1</v>
      </c>
      <c r="D5" s="407">
        <f>4.1*1330</f>
        <v>5452.9999999999991</v>
      </c>
      <c r="E5" s="407">
        <f>D5-D5*20%</f>
        <v>4362.3999999999996</v>
      </c>
      <c r="F5" s="442">
        <f t="shared" ref="F5:F10" si="0">C5*D5</f>
        <v>5452.9999999999991</v>
      </c>
      <c r="G5" s="446">
        <f t="shared" ref="G5:G10" si="1">F5*12</f>
        <v>65435.999999999985</v>
      </c>
      <c r="H5" s="445">
        <v>1</v>
      </c>
      <c r="I5" s="407">
        <f>4.1*1460</f>
        <v>5985.9999999999991</v>
      </c>
      <c r="J5" s="407">
        <f>I5-I5*20%</f>
        <v>4788.7999999999993</v>
      </c>
      <c r="K5" s="442">
        <f t="shared" ref="K5:K10" si="2">H5*I5</f>
        <v>5985.9999999999991</v>
      </c>
      <c r="L5" s="446">
        <f t="shared" ref="L5:L10" si="3">K5*12</f>
        <v>71831.999999999985</v>
      </c>
      <c r="M5" s="445">
        <f>H5-C5</f>
        <v>0</v>
      </c>
      <c r="N5" s="460">
        <f>I5-D5</f>
        <v>533</v>
      </c>
      <c r="O5" s="460">
        <f>N5-N5*20%</f>
        <v>426.4</v>
      </c>
      <c r="P5" s="442">
        <f>H5*N5</f>
        <v>533</v>
      </c>
      <c r="Q5" s="446">
        <f t="shared" ref="Q5" si="4">P5*12</f>
        <v>6396</v>
      </c>
    </row>
    <row r="6" spans="1:26" ht="31.5" customHeight="1">
      <c r="A6" s="437">
        <v>2</v>
      </c>
      <c r="B6" s="438" t="s">
        <v>193</v>
      </c>
      <c r="C6" s="458">
        <v>1</v>
      </c>
      <c r="D6" s="407">
        <f>3.1*1330</f>
        <v>4123</v>
      </c>
      <c r="E6" s="407">
        <f t="shared" ref="E6:E13" si="5">D6-D6*20%</f>
        <v>3298.4</v>
      </c>
      <c r="F6" s="442">
        <f t="shared" si="0"/>
        <v>4123</v>
      </c>
      <c r="G6" s="446">
        <f t="shared" si="1"/>
        <v>49476</v>
      </c>
      <c r="H6" s="445">
        <v>1</v>
      </c>
      <c r="I6" s="407">
        <f>3.1*1460</f>
        <v>4526</v>
      </c>
      <c r="J6" s="407">
        <f t="shared" ref="J6:J13" si="6">I6-I6*20%</f>
        <v>3620.8</v>
      </c>
      <c r="K6" s="442">
        <f t="shared" si="2"/>
        <v>4526</v>
      </c>
      <c r="L6" s="446">
        <f t="shared" si="3"/>
        <v>54312</v>
      </c>
      <c r="M6" s="445">
        <f t="shared" ref="M6:M10" si="7">H6-C6</f>
        <v>0</v>
      </c>
      <c r="N6" s="460">
        <f t="shared" ref="N6:N10" si="8">I6-D6</f>
        <v>403</v>
      </c>
      <c r="O6" s="460">
        <f t="shared" ref="O6:O13" si="9">N6-N6*20%</f>
        <v>322.39999999999998</v>
      </c>
      <c r="P6" s="442">
        <f t="shared" ref="P6:P10" si="10">H6*N6</f>
        <v>403</v>
      </c>
      <c r="Q6" s="446">
        <f t="shared" ref="Q6:Q10" si="11">P6*12</f>
        <v>4836</v>
      </c>
    </row>
    <row r="7" spans="1:26" ht="31.5" customHeight="1">
      <c r="A7" s="437">
        <v>3</v>
      </c>
      <c r="B7" s="438" t="s">
        <v>66</v>
      </c>
      <c r="C7" s="458">
        <v>2</v>
      </c>
      <c r="D7" s="407">
        <f>2.7*1330</f>
        <v>3591.0000000000005</v>
      </c>
      <c r="E7" s="407">
        <f t="shared" si="5"/>
        <v>2872.8</v>
      </c>
      <c r="F7" s="442">
        <f t="shared" si="0"/>
        <v>7182.0000000000009</v>
      </c>
      <c r="G7" s="446">
        <f t="shared" si="1"/>
        <v>86184.000000000015</v>
      </c>
      <c r="H7" s="445">
        <v>2</v>
      </c>
      <c r="I7" s="407">
        <f>2.7*1460</f>
        <v>3942.0000000000005</v>
      </c>
      <c r="J7" s="407">
        <f t="shared" si="6"/>
        <v>3153.6000000000004</v>
      </c>
      <c r="K7" s="442">
        <f t="shared" si="2"/>
        <v>7884.0000000000009</v>
      </c>
      <c r="L7" s="446">
        <f t="shared" si="3"/>
        <v>94608.000000000015</v>
      </c>
      <c r="M7" s="445">
        <f t="shared" si="7"/>
        <v>0</v>
      </c>
      <c r="N7" s="460">
        <f t="shared" si="8"/>
        <v>351</v>
      </c>
      <c r="O7" s="460">
        <f t="shared" si="9"/>
        <v>280.8</v>
      </c>
      <c r="P7" s="442">
        <f t="shared" si="10"/>
        <v>702</v>
      </c>
      <c r="Q7" s="446">
        <f t="shared" si="11"/>
        <v>8424</v>
      </c>
    </row>
    <row r="8" spans="1:26" ht="31.5" customHeight="1">
      <c r="A8" s="437">
        <v>4</v>
      </c>
      <c r="B8" s="438" t="s">
        <v>67</v>
      </c>
      <c r="C8" s="458">
        <v>5</v>
      </c>
      <c r="D8" s="407">
        <f>2.2*1330</f>
        <v>2926.0000000000005</v>
      </c>
      <c r="E8" s="407">
        <f t="shared" si="5"/>
        <v>2340.8000000000002</v>
      </c>
      <c r="F8" s="442">
        <f t="shared" si="0"/>
        <v>14630.000000000002</v>
      </c>
      <c r="G8" s="446">
        <f t="shared" si="1"/>
        <v>175560.00000000003</v>
      </c>
      <c r="H8" s="445">
        <v>5</v>
      </c>
      <c r="I8" s="407">
        <f>2.2*1460</f>
        <v>3212.0000000000005</v>
      </c>
      <c r="J8" s="407">
        <f t="shared" si="6"/>
        <v>2569.6000000000004</v>
      </c>
      <c r="K8" s="442">
        <f t="shared" si="2"/>
        <v>16060.000000000002</v>
      </c>
      <c r="L8" s="446">
        <f t="shared" si="3"/>
        <v>192720.00000000003</v>
      </c>
      <c r="M8" s="445">
        <f t="shared" si="7"/>
        <v>0</v>
      </c>
      <c r="N8" s="460">
        <f t="shared" si="8"/>
        <v>286</v>
      </c>
      <c r="O8" s="460">
        <f t="shared" si="9"/>
        <v>228.8</v>
      </c>
      <c r="P8" s="442">
        <f t="shared" si="10"/>
        <v>1430</v>
      </c>
      <c r="Q8" s="446">
        <f t="shared" si="11"/>
        <v>17160</v>
      </c>
    </row>
    <row r="9" spans="1:26" ht="31.5" customHeight="1">
      <c r="A9" s="437">
        <v>5</v>
      </c>
      <c r="B9" s="438" t="s">
        <v>68</v>
      </c>
      <c r="C9" s="458">
        <v>2</v>
      </c>
      <c r="D9" s="407">
        <f>2*1330</f>
        <v>2660</v>
      </c>
      <c r="E9" s="407">
        <f t="shared" si="5"/>
        <v>2128</v>
      </c>
      <c r="F9" s="442">
        <f t="shared" si="0"/>
        <v>5320</v>
      </c>
      <c r="G9" s="446">
        <f t="shared" si="1"/>
        <v>63840</v>
      </c>
      <c r="H9" s="445">
        <v>2</v>
      </c>
      <c r="I9" s="407">
        <f>2*1460</f>
        <v>2920</v>
      </c>
      <c r="J9" s="407">
        <f t="shared" si="6"/>
        <v>2336</v>
      </c>
      <c r="K9" s="442">
        <f t="shared" si="2"/>
        <v>5840</v>
      </c>
      <c r="L9" s="446">
        <f t="shared" si="3"/>
        <v>70080</v>
      </c>
      <c r="M9" s="445">
        <f t="shared" si="7"/>
        <v>0</v>
      </c>
      <c r="N9" s="460">
        <f t="shared" si="8"/>
        <v>260</v>
      </c>
      <c r="O9" s="460">
        <f t="shared" si="9"/>
        <v>208</v>
      </c>
      <c r="P9" s="442">
        <f t="shared" si="10"/>
        <v>520</v>
      </c>
      <c r="Q9" s="446">
        <f t="shared" si="11"/>
        <v>6240</v>
      </c>
    </row>
    <row r="10" spans="1:26" ht="31.5" customHeight="1">
      <c r="A10" s="437">
        <v>6</v>
      </c>
      <c r="B10" s="438" t="s">
        <v>69</v>
      </c>
      <c r="C10" s="458">
        <v>11</v>
      </c>
      <c r="D10" s="407">
        <f>1.6*1330</f>
        <v>2128</v>
      </c>
      <c r="E10" s="407">
        <f t="shared" si="5"/>
        <v>1702.4</v>
      </c>
      <c r="F10" s="442">
        <f t="shared" si="0"/>
        <v>23408</v>
      </c>
      <c r="G10" s="446">
        <f t="shared" si="1"/>
        <v>280896</v>
      </c>
      <c r="H10" s="445">
        <v>11</v>
      </c>
      <c r="I10" s="407">
        <f>1.6*1460</f>
        <v>2336</v>
      </c>
      <c r="J10" s="407">
        <f t="shared" si="6"/>
        <v>1868.8</v>
      </c>
      <c r="K10" s="442">
        <f t="shared" si="2"/>
        <v>25696</v>
      </c>
      <c r="L10" s="446">
        <f t="shared" si="3"/>
        <v>308352</v>
      </c>
      <c r="M10" s="445">
        <f t="shared" si="7"/>
        <v>0</v>
      </c>
      <c r="N10" s="460">
        <f t="shared" si="8"/>
        <v>208</v>
      </c>
      <c r="O10" s="460">
        <f t="shared" si="9"/>
        <v>166.4</v>
      </c>
      <c r="P10" s="442">
        <f t="shared" si="10"/>
        <v>2288</v>
      </c>
      <c r="Q10" s="446">
        <f t="shared" si="11"/>
        <v>27456</v>
      </c>
    </row>
    <row r="11" spans="1:26" s="43" customFormat="1" ht="31.5" customHeight="1">
      <c r="A11" s="437">
        <v>7</v>
      </c>
      <c r="B11" s="438" t="s">
        <v>380</v>
      </c>
      <c r="C11" s="458">
        <v>1</v>
      </c>
      <c r="D11" s="407">
        <f>2*1330</f>
        <v>2660</v>
      </c>
      <c r="E11" s="407">
        <f t="shared" si="5"/>
        <v>2128</v>
      </c>
      <c r="F11" s="442">
        <f>C11*D11</f>
        <v>2660</v>
      </c>
      <c r="G11" s="446">
        <f t="shared" ref="G11:G13" si="12">F11*12</f>
        <v>31920</v>
      </c>
      <c r="H11" s="445">
        <v>1</v>
      </c>
      <c r="I11" s="407">
        <f>2.3*1460</f>
        <v>3357.9999999999995</v>
      </c>
      <c r="J11" s="407">
        <f t="shared" si="6"/>
        <v>2686.3999999999996</v>
      </c>
      <c r="K11" s="442">
        <f>H11*I11</f>
        <v>3357.9999999999995</v>
      </c>
      <c r="L11" s="446">
        <f t="shared" ref="L11:L13" si="13">K11*12</f>
        <v>40295.999999999993</v>
      </c>
      <c r="M11" s="445">
        <f t="shared" ref="M11:M13" si="14">H11-C11</f>
        <v>0</v>
      </c>
      <c r="N11" s="460">
        <f t="shared" ref="N11:N13" si="15">I11-D11</f>
        <v>697.99999999999955</v>
      </c>
      <c r="O11" s="460">
        <f t="shared" si="9"/>
        <v>558.39999999999964</v>
      </c>
      <c r="P11" s="442">
        <f t="shared" ref="P11:P13" si="16">H11*N11</f>
        <v>697.99999999999955</v>
      </c>
      <c r="Q11" s="446">
        <f t="shared" ref="Q11:Q13" si="17">P11*12</f>
        <v>8375.9999999999945</v>
      </c>
      <c r="T11" s="7"/>
      <c r="U11" s="7"/>
      <c r="V11" s="7"/>
      <c r="W11" s="7"/>
      <c r="X11" s="7"/>
      <c r="Y11" s="7"/>
      <c r="Z11" s="7"/>
    </row>
    <row r="12" spans="1:26" s="43" customFormat="1" ht="31.5" customHeight="1">
      <c r="A12" s="437">
        <v>8</v>
      </c>
      <c r="B12" s="438" t="s">
        <v>379</v>
      </c>
      <c r="C12" s="458">
        <v>1</v>
      </c>
      <c r="D12" s="407">
        <f>1.6*1330</f>
        <v>2128</v>
      </c>
      <c r="E12" s="407">
        <f t="shared" si="5"/>
        <v>1702.4</v>
      </c>
      <c r="F12" s="442">
        <f t="shared" ref="F12:F13" si="18">C12*D12</f>
        <v>2128</v>
      </c>
      <c r="G12" s="446">
        <f t="shared" si="12"/>
        <v>25536</v>
      </c>
      <c r="H12" s="445">
        <v>1</v>
      </c>
      <c r="I12" s="407">
        <f>1.8*1460</f>
        <v>2628</v>
      </c>
      <c r="J12" s="407">
        <f t="shared" si="6"/>
        <v>2102.4</v>
      </c>
      <c r="K12" s="442">
        <f t="shared" ref="K12:K13" si="19">H12*I12</f>
        <v>2628</v>
      </c>
      <c r="L12" s="446">
        <f t="shared" si="13"/>
        <v>31536</v>
      </c>
      <c r="M12" s="445">
        <f t="shared" si="14"/>
        <v>0</v>
      </c>
      <c r="N12" s="460">
        <f t="shared" si="15"/>
        <v>500</v>
      </c>
      <c r="O12" s="460">
        <f t="shared" si="9"/>
        <v>400</v>
      </c>
      <c r="P12" s="442">
        <f t="shared" si="16"/>
        <v>500</v>
      </c>
      <c r="Q12" s="446">
        <f t="shared" si="17"/>
        <v>6000</v>
      </c>
      <c r="T12" s="7"/>
      <c r="U12" s="7"/>
      <c r="V12" s="7"/>
      <c r="W12" s="7"/>
      <c r="X12" s="7"/>
      <c r="Y12" s="7"/>
      <c r="Z12" s="7"/>
    </row>
    <row r="13" spans="1:26" s="43" customFormat="1" ht="31.5" customHeight="1" thickBot="1">
      <c r="A13" s="437">
        <v>9</v>
      </c>
      <c r="B13" s="438" t="s">
        <v>378</v>
      </c>
      <c r="C13" s="459">
        <v>9</v>
      </c>
      <c r="D13" s="434">
        <f>1.2*1330</f>
        <v>1596</v>
      </c>
      <c r="E13" s="434">
        <f t="shared" si="5"/>
        <v>1276.8</v>
      </c>
      <c r="F13" s="443">
        <f t="shared" si="18"/>
        <v>14364</v>
      </c>
      <c r="G13" s="448">
        <f t="shared" si="12"/>
        <v>172368</v>
      </c>
      <c r="H13" s="447">
        <v>9</v>
      </c>
      <c r="I13" s="434">
        <f>1.4*1460</f>
        <v>2043.9999999999998</v>
      </c>
      <c r="J13" s="434">
        <f t="shared" si="6"/>
        <v>1635.1999999999998</v>
      </c>
      <c r="K13" s="443">
        <f t="shared" si="19"/>
        <v>18395.999999999996</v>
      </c>
      <c r="L13" s="448">
        <f t="shared" si="13"/>
        <v>220751.99999999994</v>
      </c>
      <c r="M13" s="447">
        <f t="shared" si="14"/>
        <v>0</v>
      </c>
      <c r="N13" s="461">
        <f t="shared" si="15"/>
        <v>447.99999999999977</v>
      </c>
      <c r="O13" s="461">
        <f t="shared" si="9"/>
        <v>358.39999999999981</v>
      </c>
      <c r="P13" s="443">
        <f t="shared" si="16"/>
        <v>4031.9999999999982</v>
      </c>
      <c r="Q13" s="448">
        <f t="shared" si="17"/>
        <v>48383.999999999978</v>
      </c>
      <c r="T13" s="7"/>
      <c r="U13" s="7"/>
      <c r="V13" s="7"/>
      <c r="W13" s="7"/>
      <c r="X13" s="7"/>
      <c r="Y13" s="7"/>
      <c r="Z13" s="7"/>
    </row>
    <row r="14" spans="1:26" hidden="1"/>
    <row r="15" spans="1:26" s="46" customFormat="1" ht="36" customHeight="1" thickBot="1">
      <c r="A15" s="717" t="s">
        <v>376</v>
      </c>
      <c r="B15" s="717"/>
      <c r="C15" s="717"/>
      <c r="D15" s="717"/>
      <c r="E15" s="717"/>
      <c r="F15" s="717"/>
      <c r="G15" s="717"/>
      <c r="H15" s="717"/>
      <c r="I15" s="717"/>
      <c r="J15" s="717"/>
      <c r="K15" s="717"/>
      <c r="L15" s="717"/>
      <c r="M15" s="717"/>
      <c r="N15" s="717"/>
      <c r="O15" s="717"/>
      <c r="P15" s="717"/>
      <c r="Q15" s="717"/>
    </row>
    <row r="16" spans="1:26" s="1" customFormat="1" ht="1.5" hidden="1" customHeight="1" thickBot="1">
      <c r="D16" s="53"/>
      <c r="E16" s="195"/>
      <c r="G16" s="53"/>
      <c r="I16" s="53"/>
      <c r="J16" s="195"/>
      <c r="L16" s="53"/>
      <c r="N16" s="53"/>
      <c r="O16" s="53"/>
      <c r="Q16" s="53"/>
    </row>
    <row r="17" spans="1:21" ht="20.25" hidden="1" customHeight="1" thickBot="1">
      <c r="A17" s="713" t="s">
        <v>60</v>
      </c>
      <c r="B17" s="715" t="s">
        <v>61</v>
      </c>
      <c r="C17" s="710" t="s">
        <v>367</v>
      </c>
      <c r="D17" s="711"/>
      <c r="E17" s="711"/>
      <c r="F17" s="711"/>
      <c r="G17" s="712"/>
      <c r="H17" s="710" t="s">
        <v>368</v>
      </c>
      <c r="I17" s="711"/>
      <c r="J17" s="711"/>
      <c r="K17" s="711"/>
      <c r="L17" s="712"/>
      <c r="M17" s="710" t="s">
        <v>349</v>
      </c>
      <c r="N17" s="711"/>
      <c r="O17" s="711"/>
      <c r="P17" s="711"/>
      <c r="Q17" s="712"/>
    </row>
    <row r="18" spans="1:21" s="1" customFormat="1" ht="56.25" hidden="1" customHeight="1" thickBot="1">
      <c r="A18" s="714"/>
      <c r="B18" s="716"/>
      <c r="C18" s="224" t="s">
        <v>62</v>
      </c>
      <c r="D18" s="436" t="s">
        <v>63</v>
      </c>
      <c r="E18" s="230" t="s">
        <v>351</v>
      </c>
      <c r="F18" s="225" t="s">
        <v>33</v>
      </c>
      <c r="G18" s="226" t="s">
        <v>32</v>
      </c>
      <c r="H18" s="224" t="s">
        <v>62</v>
      </c>
      <c r="I18" s="436" t="s">
        <v>63</v>
      </c>
      <c r="J18" s="230" t="s">
        <v>351</v>
      </c>
      <c r="K18" s="225" t="s">
        <v>33</v>
      </c>
      <c r="L18" s="226" t="s">
        <v>32</v>
      </c>
      <c r="M18" s="224" t="s">
        <v>62</v>
      </c>
      <c r="N18" s="436" t="s">
        <v>63</v>
      </c>
      <c r="O18" s="230" t="s">
        <v>351</v>
      </c>
      <c r="P18" s="225" t="s">
        <v>33</v>
      </c>
      <c r="Q18" s="226" t="s">
        <v>32</v>
      </c>
      <c r="R18" s="7"/>
      <c r="S18" s="7"/>
      <c r="T18" s="7"/>
    </row>
    <row r="19" spans="1:21" s="42" customFormat="1" ht="25.5" customHeight="1" thickBot="1">
      <c r="A19" s="508"/>
      <c r="B19" s="398" t="s">
        <v>217</v>
      </c>
      <c r="C19" s="466">
        <f>SUM(C20:C24)</f>
        <v>5</v>
      </c>
      <c r="D19" s="467" t="s">
        <v>12</v>
      </c>
      <c r="E19" s="467" t="s">
        <v>12</v>
      </c>
      <c r="F19" s="468">
        <f>SUM(F20:F24)</f>
        <v>6705</v>
      </c>
      <c r="G19" s="469">
        <f>SUM(G20:G24)</f>
        <v>80460</v>
      </c>
      <c r="H19" s="466">
        <f>SUM(H20:H24)</f>
        <v>5</v>
      </c>
      <c r="I19" s="467" t="s">
        <v>12</v>
      </c>
      <c r="J19" s="467" t="s">
        <v>12</v>
      </c>
      <c r="K19" s="468">
        <f>SUM(K20:K24)</f>
        <v>8556</v>
      </c>
      <c r="L19" s="469">
        <f>SUM(L20:L24)</f>
        <v>102672</v>
      </c>
      <c r="M19" s="466">
        <f>SUM(M20:M24)</f>
        <v>0</v>
      </c>
      <c r="N19" s="467" t="s">
        <v>12</v>
      </c>
      <c r="O19" s="467" t="s">
        <v>12</v>
      </c>
      <c r="P19" s="468">
        <f>SUM(P20:P24)</f>
        <v>1850.9999999999993</v>
      </c>
      <c r="Q19" s="469">
        <f>SUM(Q20:Q24)</f>
        <v>22211.999999999993</v>
      </c>
      <c r="S19" s="1"/>
      <c r="T19" s="1"/>
      <c r="U19" s="1"/>
    </row>
    <row r="20" spans="1:21" s="1" customFormat="1" ht="33" customHeight="1">
      <c r="A20" s="60">
        <v>1</v>
      </c>
      <c r="B20" s="511" t="s">
        <v>99</v>
      </c>
      <c r="C20" s="477">
        <v>1</v>
      </c>
      <c r="D20" s="477">
        <f>1.36*1330+0.2</f>
        <v>1809.0000000000002</v>
      </c>
      <c r="E20" s="477">
        <f t="shared" ref="E20:E24" si="20">D20-D20*20%</f>
        <v>1447.2000000000003</v>
      </c>
      <c r="F20" s="456">
        <f>C20*D20</f>
        <v>1809.0000000000002</v>
      </c>
      <c r="G20" s="512">
        <f>F20*12</f>
        <v>21708.000000000004</v>
      </c>
      <c r="H20" s="477">
        <v>1</v>
      </c>
      <c r="I20" s="477">
        <f>1.56*1460+0.4</f>
        <v>2278</v>
      </c>
      <c r="J20" s="477">
        <f t="shared" ref="J20:J24" si="21">I20-I20*20%</f>
        <v>1822.4</v>
      </c>
      <c r="K20" s="456">
        <f>H20*I20</f>
        <v>2278</v>
      </c>
      <c r="L20" s="512">
        <f>K20*12</f>
        <v>27336</v>
      </c>
      <c r="M20" s="477">
        <f t="shared" ref="M20:M24" si="22">H20-C20</f>
        <v>0</v>
      </c>
      <c r="N20" s="477">
        <f t="shared" ref="N20:N24" si="23">I20-D20</f>
        <v>468.99999999999977</v>
      </c>
      <c r="O20" s="477">
        <f t="shared" ref="O20:O24" si="24">N20-N20*20%</f>
        <v>375.19999999999982</v>
      </c>
      <c r="P20" s="456">
        <f t="shared" ref="P20:P24" si="25">H20*N20</f>
        <v>468.99999999999977</v>
      </c>
      <c r="Q20" s="512">
        <f t="shared" ref="Q20:Q24" si="26">P20*12</f>
        <v>5627.9999999999973</v>
      </c>
      <c r="R20" s="7"/>
      <c r="S20" s="7"/>
      <c r="T20" s="7"/>
    </row>
    <row r="21" spans="1:21" s="1" customFormat="1" ht="33" customHeight="1">
      <c r="A21" s="55">
        <v>2</v>
      </c>
      <c r="B21" s="509" t="s">
        <v>104</v>
      </c>
      <c r="C21" s="407">
        <v>1</v>
      </c>
      <c r="D21" s="407">
        <f>1.1*1330</f>
        <v>1463.0000000000002</v>
      </c>
      <c r="E21" s="407">
        <f t="shared" si="20"/>
        <v>1170.4000000000001</v>
      </c>
      <c r="F21" s="442">
        <f>C21*D21</f>
        <v>1463.0000000000002</v>
      </c>
      <c r="G21" s="510">
        <f>F21*12</f>
        <v>17556.000000000004</v>
      </c>
      <c r="H21" s="407">
        <v>1</v>
      </c>
      <c r="I21" s="407">
        <f>1.3*1460</f>
        <v>1898</v>
      </c>
      <c r="J21" s="407">
        <f t="shared" si="21"/>
        <v>1518.4</v>
      </c>
      <c r="K21" s="442">
        <f>H21*I21</f>
        <v>1898</v>
      </c>
      <c r="L21" s="510">
        <f>K21*12</f>
        <v>22776</v>
      </c>
      <c r="M21" s="407">
        <f t="shared" si="22"/>
        <v>0</v>
      </c>
      <c r="N21" s="407">
        <f t="shared" si="23"/>
        <v>434.99999999999977</v>
      </c>
      <c r="O21" s="407">
        <f t="shared" si="24"/>
        <v>347.99999999999983</v>
      </c>
      <c r="P21" s="442">
        <f t="shared" si="25"/>
        <v>434.99999999999977</v>
      </c>
      <c r="Q21" s="510">
        <f t="shared" si="26"/>
        <v>5219.9999999999973</v>
      </c>
      <c r="R21" s="7"/>
      <c r="S21" s="7"/>
      <c r="T21" s="7"/>
    </row>
    <row r="22" spans="1:21" s="1" customFormat="1" ht="33" customHeight="1">
      <c r="A22" s="55">
        <v>3</v>
      </c>
      <c r="B22" s="509" t="s">
        <v>196</v>
      </c>
      <c r="C22" s="407">
        <v>1</v>
      </c>
      <c r="D22" s="407">
        <f>0.74*1330+0.8</f>
        <v>984.99999999999989</v>
      </c>
      <c r="E22" s="407">
        <f t="shared" si="20"/>
        <v>787.99999999999989</v>
      </c>
      <c r="F22" s="442">
        <f>C22*D22</f>
        <v>984.99999999999989</v>
      </c>
      <c r="G22" s="510">
        <f>F22*12</f>
        <v>11819.999999999998</v>
      </c>
      <c r="H22" s="407">
        <v>1</v>
      </c>
      <c r="I22" s="407">
        <f>0.85*1460</f>
        <v>1241</v>
      </c>
      <c r="J22" s="407">
        <f t="shared" si="21"/>
        <v>992.8</v>
      </c>
      <c r="K22" s="442">
        <f>H22*I22</f>
        <v>1241</v>
      </c>
      <c r="L22" s="510">
        <f>K22*12</f>
        <v>14892</v>
      </c>
      <c r="M22" s="407">
        <f t="shared" si="22"/>
        <v>0</v>
      </c>
      <c r="N22" s="407">
        <f t="shared" si="23"/>
        <v>256.00000000000011</v>
      </c>
      <c r="O22" s="407">
        <f t="shared" si="24"/>
        <v>204.8000000000001</v>
      </c>
      <c r="P22" s="442">
        <f t="shared" si="25"/>
        <v>256.00000000000011</v>
      </c>
      <c r="Q22" s="510">
        <f t="shared" si="26"/>
        <v>3072.0000000000014</v>
      </c>
      <c r="R22" s="7"/>
      <c r="S22" s="7"/>
      <c r="T22" s="7"/>
    </row>
    <row r="23" spans="1:21" s="1" customFormat="1" ht="33" customHeight="1">
      <c r="A23" s="55">
        <v>4</v>
      </c>
      <c r="B23" s="509" t="s">
        <v>13</v>
      </c>
      <c r="C23" s="407">
        <v>1</v>
      </c>
      <c r="D23" s="407">
        <f>1.2*1330</f>
        <v>1596</v>
      </c>
      <c r="E23" s="407">
        <f t="shared" si="20"/>
        <v>1276.8</v>
      </c>
      <c r="F23" s="442">
        <f>C23*D23</f>
        <v>1596</v>
      </c>
      <c r="G23" s="510">
        <f>F23*12</f>
        <v>19152</v>
      </c>
      <c r="H23" s="407">
        <v>1</v>
      </c>
      <c r="I23" s="407">
        <f>1.4*1460</f>
        <v>2043.9999999999998</v>
      </c>
      <c r="J23" s="407">
        <f t="shared" si="21"/>
        <v>1635.1999999999998</v>
      </c>
      <c r="K23" s="442">
        <f>H23*I23</f>
        <v>2043.9999999999998</v>
      </c>
      <c r="L23" s="510">
        <f>K23*12</f>
        <v>24527.999999999996</v>
      </c>
      <c r="M23" s="407">
        <f t="shared" si="22"/>
        <v>0</v>
      </c>
      <c r="N23" s="407">
        <f t="shared" si="23"/>
        <v>447.99999999999977</v>
      </c>
      <c r="O23" s="407">
        <f t="shared" si="24"/>
        <v>358.39999999999981</v>
      </c>
      <c r="P23" s="442">
        <f t="shared" si="25"/>
        <v>447.99999999999977</v>
      </c>
      <c r="Q23" s="510">
        <f t="shared" si="26"/>
        <v>5375.9999999999973</v>
      </c>
      <c r="R23" s="7"/>
      <c r="S23" s="7"/>
      <c r="T23" s="7"/>
    </row>
    <row r="24" spans="1:21" s="1" customFormat="1" ht="33" customHeight="1">
      <c r="A24" s="55">
        <v>5</v>
      </c>
      <c r="B24" s="509" t="s">
        <v>11</v>
      </c>
      <c r="C24" s="407">
        <v>1</v>
      </c>
      <c r="D24" s="407">
        <f>0.64*1330+0.8</f>
        <v>852</v>
      </c>
      <c r="E24" s="407">
        <f t="shared" si="20"/>
        <v>681.6</v>
      </c>
      <c r="F24" s="442">
        <f>C24*D24</f>
        <v>852</v>
      </c>
      <c r="G24" s="510">
        <f>F24*12</f>
        <v>10224</v>
      </c>
      <c r="H24" s="407">
        <v>1</v>
      </c>
      <c r="I24" s="407">
        <f>0.75*1460</f>
        <v>1095</v>
      </c>
      <c r="J24" s="407">
        <f t="shared" si="21"/>
        <v>876</v>
      </c>
      <c r="K24" s="442">
        <f>H24*I24</f>
        <v>1095</v>
      </c>
      <c r="L24" s="510">
        <f>K24*12</f>
        <v>13140</v>
      </c>
      <c r="M24" s="407">
        <f t="shared" si="22"/>
        <v>0</v>
      </c>
      <c r="N24" s="407">
        <f t="shared" si="23"/>
        <v>243</v>
      </c>
      <c r="O24" s="407">
        <f t="shared" si="24"/>
        <v>194.4</v>
      </c>
      <c r="P24" s="442">
        <f t="shared" si="25"/>
        <v>243</v>
      </c>
      <c r="Q24" s="510">
        <f t="shared" si="26"/>
        <v>2916</v>
      </c>
      <c r="R24" s="7"/>
      <c r="S24" s="7"/>
      <c r="T24" s="7"/>
    </row>
    <row r="25" spans="1:21" ht="4.5" customHeight="1"/>
    <row r="26" spans="1:21" ht="20.25" customHeight="1" thickBot="1">
      <c r="A26" s="706" t="s">
        <v>369</v>
      </c>
      <c r="B26" s="706"/>
      <c r="C26" s="706"/>
      <c r="D26" s="706"/>
      <c r="E26" s="706"/>
      <c r="F26" s="706"/>
      <c r="G26" s="706"/>
      <c r="H26" s="706"/>
      <c r="I26" s="706"/>
      <c r="J26" s="706"/>
      <c r="K26" s="706"/>
      <c r="L26" s="706"/>
      <c r="M26" s="706"/>
      <c r="N26" s="706"/>
      <c r="O26" s="706"/>
      <c r="P26" s="706"/>
      <c r="Q26" s="706"/>
    </row>
    <row r="27" spans="1:21" ht="2.25" hidden="1" customHeight="1" thickBot="1"/>
    <row r="28" spans="1:21" ht="20.25" customHeight="1" thickBot="1">
      <c r="A28" s="699" t="s">
        <v>60</v>
      </c>
      <c r="B28" s="701" t="s">
        <v>61</v>
      </c>
      <c r="C28" s="703" t="s">
        <v>367</v>
      </c>
      <c r="D28" s="704"/>
      <c r="E28" s="704"/>
      <c r="F28" s="704"/>
      <c r="G28" s="705"/>
      <c r="H28" s="703" t="s">
        <v>368</v>
      </c>
      <c r="I28" s="704"/>
      <c r="J28" s="704"/>
      <c r="K28" s="704"/>
      <c r="L28" s="705"/>
      <c r="M28" s="703" t="s">
        <v>349</v>
      </c>
      <c r="N28" s="704"/>
      <c r="O28" s="704"/>
      <c r="P28" s="704"/>
      <c r="Q28" s="705"/>
    </row>
    <row r="29" spans="1:21" s="1" customFormat="1" ht="50.25" customHeight="1" thickBot="1">
      <c r="A29" s="700"/>
      <c r="B29" s="702"/>
      <c r="C29" s="454" t="s">
        <v>62</v>
      </c>
      <c r="D29" s="450" t="s">
        <v>63</v>
      </c>
      <c r="E29" s="451" t="s">
        <v>351</v>
      </c>
      <c r="F29" s="452" t="s">
        <v>33</v>
      </c>
      <c r="G29" s="453" t="s">
        <v>32</v>
      </c>
      <c r="H29" s="224" t="s">
        <v>62</v>
      </c>
      <c r="I29" s="436" t="s">
        <v>63</v>
      </c>
      <c r="J29" s="230" t="s">
        <v>351</v>
      </c>
      <c r="K29" s="225" t="s">
        <v>33</v>
      </c>
      <c r="L29" s="226" t="s">
        <v>32</v>
      </c>
      <c r="M29" s="224" t="s">
        <v>62</v>
      </c>
      <c r="N29" s="436" t="s">
        <v>63</v>
      </c>
      <c r="O29" s="230" t="s">
        <v>351</v>
      </c>
      <c r="P29" s="225" t="s">
        <v>33</v>
      </c>
      <c r="Q29" s="226" t="s">
        <v>32</v>
      </c>
    </row>
    <row r="30" spans="1:21" s="42" customFormat="1" ht="23.25" customHeight="1" thickBot="1">
      <c r="A30" s="470"/>
      <c r="B30" s="471" t="s">
        <v>374</v>
      </c>
      <c r="C30" s="466">
        <f>SUM(C31:C41)</f>
        <v>187</v>
      </c>
      <c r="D30" s="467" t="s">
        <v>12</v>
      </c>
      <c r="E30" s="467" t="s">
        <v>12</v>
      </c>
      <c r="F30" s="468">
        <f>SUM(F31:F41)</f>
        <v>300204</v>
      </c>
      <c r="G30" s="469">
        <f>SUM(G31:G41)</f>
        <v>3602448</v>
      </c>
      <c r="H30" s="466">
        <f>SUM(H31:H41)</f>
        <v>187</v>
      </c>
      <c r="I30" s="467" t="s">
        <v>12</v>
      </c>
      <c r="J30" s="467" t="s">
        <v>12</v>
      </c>
      <c r="K30" s="468">
        <f>SUM(K31:K41)</f>
        <v>377556</v>
      </c>
      <c r="L30" s="469">
        <f>SUM(L31:L41)</f>
        <v>4530672</v>
      </c>
      <c r="M30" s="466">
        <f>SUM(M31:M41)</f>
        <v>0</v>
      </c>
      <c r="N30" s="467" t="s">
        <v>12</v>
      </c>
      <c r="O30" s="467" t="s">
        <v>12</v>
      </c>
      <c r="P30" s="468">
        <f>SUM(P31:P41)</f>
        <v>77351.999999999971</v>
      </c>
      <c r="Q30" s="504">
        <f>SUM(Q31:Q41)</f>
        <v>928223.99999999977</v>
      </c>
      <c r="S30" s="1"/>
      <c r="T30" s="1"/>
      <c r="U30" s="1"/>
    </row>
    <row r="31" spans="1:21" ht="21" customHeight="1">
      <c r="A31" s="431">
        <v>1</v>
      </c>
      <c r="B31" s="509" t="s">
        <v>381</v>
      </c>
      <c r="C31" s="499">
        <v>1</v>
      </c>
      <c r="D31" s="439">
        <f>4.6*1330</f>
        <v>6117.9999999999991</v>
      </c>
      <c r="E31" s="407">
        <f t="shared" ref="E31:E41" si="27">D31-D31*20%</f>
        <v>4894.3999999999996</v>
      </c>
      <c r="F31" s="462">
        <f t="shared" ref="F31:F33" si="28">C31*D31</f>
        <v>6117.9999999999991</v>
      </c>
      <c r="G31" s="446">
        <f t="shared" ref="G31:G33" si="29">F31*12</f>
        <v>73415.999999999985</v>
      </c>
      <c r="H31" s="500">
        <v>1</v>
      </c>
      <c r="I31" s="439">
        <f>4.6*1460</f>
        <v>6715.9999999999991</v>
      </c>
      <c r="J31" s="407">
        <f t="shared" ref="J31:J41" si="30">I31-I31*20%</f>
        <v>5372.7999999999993</v>
      </c>
      <c r="K31" s="462">
        <f t="shared" ref="K31:K33" si="31">H31*I31</f>
        <v>6715.9999999999991</v>
      </c>
      <c r="L31" s="446">
        <f t="shared" ref="L31:L33" si="32">K31*12</f>
        <v>80591.999999999985</v>
      </c>
      <c r="M31" s="500">
        <f>H31-C31</f>
        <v>0</v>
      </c>
      <c r="N31" s="439">
        <f>I31-D31</f>
        <v>598</v>
      </c>
      <c r="O31" s="407">
        <f t="shared" ref="O31:O41" si="33">N31-N31*20%</f>
        <v>478.4</v>
      </c>
      <c r="P31" s="440">
        <f>H31*N31</f>
        <v>598</v>
      </c>
      <c r="Q31" s="441">
        <f t="shared" ref="Q31:Q33" si="34">P31*12</f>
        <v>7176</v>
      </c>
    </row>
    <row r="32" spans="1:21" ht="21" customHeight="1">
      <c r="A32" s="431">
        <v>2</v>
      </c>
      <c r="B32" s="509" t="s">
        <v>73</v>
      </c>
      <c r="C32" s="499">
        <v>1</v>
      </c>
      <c r="D32" s="439">
        <f>3.5*1330</f>
        <v>4655</v>
      </c>
      <c r="E32" s="407">
        <f t="shared" si="27"/>
        <v>3724</v>
      </c>
      <c r="F32" s="462">
        <f t="shared" si="28"/>
        <v>4655</v>
      </c>
      <c r="G32" s="446">
        <f t="shared" si="29"/>
        <v>55860</v>
      </c>
      <c r="H32" s="500">
        <v>1</v>
      </c>
      <c r="I32" s="439">
        <f>3.5*1460</f>
        <v>5110</v>
      </c>
      <c r="J32" s="407">
        <f t="shared" si="30"/>
        <v>4088</v>
      </c>
      <c r="K32" s="462">
        <f t="shared" si="31"/>
        <v>5110</v>
      </c>
      <c r="L32" s="446">
        <f t="shared" si="32"/>
        <v>61320</v>
      </c>
      <c r="M32" s="500">
        <f t="shared" ref="M32:M33" si="35">H32-C32</f>
        <v>0</v>
      </c>
      <c r="N32" s="439">
        <f t="shared" ref="N32:N33" si="36">I32-D32</f>
        <v>455</v>
      </c>
      <c r="O32" s="407">
        <f t="shared" si="33"/>
        <v>364</v>
      </c>
      <c r="P32" s="440">
        <f t="shared" ref="P32:P33" si="37">H32*N32</f>
        <v>455</v>
      </c>
      <c r="Q32" s="441">
        <f t="shared" si="34"/>
        <v>5460</v>
      </c>
    </row>
    <row r="33" spans="1:26" ht="21" customHeight="1">
      <c r="A33" s="431">
        <v>3</v>
      </c>
      <c r="B33" s="509" t="s">
        <v>74</v>
      </c>
      <c r="C33" s="499">
        <v>2</v>
      </c>
      <c r="D33" s="439">
        <f>3.2*1330</f>
        <v>4256</v>
      </c>
      <c r="E33" s="407">
        <f t="shared" si="27"/>
        <v>3404.8</v>
      </c>
      <c r="F33" s="462">
        <f t="shared" si="28"/>
        <v>8512</v>
      </c>
      <c r="G33" s="446">
        <f t="shared" si="29"/>
        <v>102144</v>
      </c>
      <c r="H33" s="500">
        <v>2</v>
      </c>
      <c r="I33" s="439">
        <f>3.2*1460</f>
        <v>4672</v>
      </c>
      <c r="J33" s="407">
        <f t="shared" si="30"/>
        <v>3737.6</v>
      </c>
      <c r="K33" s="462">
        <f t="shared" si="31"/>
        <v>9344</v>
      </c>
      <c r="L33" s="446">
        <f t="shared" si="32"/>
        <v>112128</v>
      </c>
      <c r="M33" s="500">
        <f t="shared" si="35"/>
        <v>0</v>
      </c>
      <c r="N33" s="439">
        <f t="shared" si="36"/>
        <v>416</v>
      </c>
      <c r="O33" s="407">
        <f t="shared" si="33"/>
        <v>332.8</v>
      </c>
      <c r="P33" s="440">
        <f t="shared" si="37"/>
        <v>832</v>
      </c>
      <c r="Q33" s="441">
        <f t="shared" si="34"/>
        <v>9984</v>
      </c>
    </row>
    <row r="34" spans="1:26" s="43" customFormat="1" ht="21" customHeight="1">
      <c r="A34" s="431">
        <v>4</v>
      </c>
      <c r="B34" s="509" t="s">
        <v>365</v>
      </c>
      <c r="C34" s="499">
        <v>9</v>
      </c>
      <c r="D34" s="430">
        <f>2*1330</f>
        <v>2660</v>
      </c>
      <c r="E34" s="407">
        <f t="shared" si="27"/>
        <v>2128</v>
      </c>
      <c r="F34" s="442">
        <f>C34*D34</f>
        <v>23940</v>
      </c>
      <c r="G34" s="446">
        <f t="shared" ref="G34:G41" si="38">F34*12</f>
        <v>287280</v>
      </c>
      <c r="H34" s="500">
        <f>C34</f>
        <v>9</v>
      </c>
      <c r="I34" s="430">
        <f>2.3*1460</f>
        <v>3357.9999999999995</v>
      </c>
      <c r="J34" s="407">
        <f t="shared" si="30"/>
        <v>2686.3999999999996</v>
      </c>
      <c r="K34" s="442">
        <f>H34*I34</f>
        <v>30221.999999999996</v>
      </c>
      <c r="L34" s="446">
        <f t="shared" ref="L34:L41" si="39">K34*12</f>
        <v>362663.99999999994</v>
      </c>
      <c r="M34" s="500">
        <f t="shared" ref="M34:M41" si="40">H34-C34</f>
        <v>0</v>
      </c>
      <c r="N34" s="430">
        <f t="shared" ref="N34:N41" si="41">I34-D34</f>
        <v>697.99999999999955</v>
      </c>
      <c r="O34" s="407">
        <f t="shared" si="33"/>
        <v>558.39999999999964</v>
      </c>
      <c r="P34" s="442">
        <f t="shared" ref="P34:P41" si="42">H34*N34</f>
        <v>6281.9999999999964</v>
      </c>
      <c r="Q34" s="446">
        <f t="shared" ref="Q34:Q41" si="43">P34*12</f>
        <v>75383.999999999956</v>
      </c>
      <c r="T34" s="7"/>
      <c r="U34" s="7"/>
      <c r="V34" s="7"/>
      <c r="W34" s="7"/>
      <c r="X34" s="7"/>
      <c r="Y34" s="7"/>
      <c r="Z34" s="7"/>
    </row>
    <row r="35" spans="1:26" s="43" customFormat="1" ht="21" customHeight="1">
      <c r="A35" s="431">
        <v>5</v>
      </c>
      <c r="B35" s="509" t="s">
        <v>370</v>
      </c>
      <c r="C35" s="499">
        <v>2</v>
      </c>
      <c r="D35" s="430">
        <f>1.8*1330</f>
        <v>2394</v>
      </c>
      <c r="E35" s="407">
        <f t="shared" si="27"/>
        <v>1915.2</v>
      </c>
      <c r="F35" s="442">
        <f>C35*D35</f>
        <v>4788</v>
      </c>
      <c r="G35" s="446">
        <f t="shared" ref="G35" si="44">F35*12</f>
        <v>57456</v>
      </c>
      <c r="H35" s="500">
        <f>C35</f>
        <v>2</v>
      </c>
      <c r="I35" s="430">
        <f>2*1460</f>
        <v>2920</v>
      </c>
      <c r="J35" s="407">
        <f t="shared" si="30"/>
        <v>2336</v>
      </c>
      <c r="K35" s="442">
        <f>H35*I35</f>
        <v>5840</v>
      </c>
      <c r="L35" s="446">
        <f t="shared" ref="L35" si="45">K35*12</f>
        <v>70080</v>
      </c>
      <c r="M35" s="500">
        <f t="shared" si="40"/>
        <v>0</v>
      </c>
      <c r="N35" s="430">
        <f t="shared" ref="N35" si="46">I35-D35</f>
        <v>526</v>
      </c>
      <c r="O35" s="407">
        <f t="shared" si="33"/>
        <v>420.8</v>
      </c>
      <c r="P35" s="442">
        <f t="shared" ref="P35" si="47">H35*N35</f>
        <v>1052</v>
      </c>
      <c r="Q35" s="446">
        <f t="shared" ref="Q35" si="48">P35*12</f>
        <v>12624</v>
      </c>
      <c r="T35" s="7"/>
      <c r="U35" s="7"/>
      <c r="V35" s="7"/>
      <c r="W35" s="7"/>
      <c r="X35" s="7"/>
      <c r="Y35" s="7"/>
      <c r="Z35" s="7"/>
    </row>
    <row r="36" spans="1:26" s="43" customFormat="1" ht="24" customHeight="1">
      <c r="A36" s="431">
        <v>6</v>
      </c>
      <c r="B36" s="509" t="s">
        <v>178</v>
      </c>
      <c r="C36" s="499">
        <v>16</v>
      </c>
      <c r="D36" s="430">
        <f>1.6*1330</f>
        <v>2128</v>
      </c>
      <c r="E36" s="407">
        <f t="shared" si="27"/>
        <v>1702.4</v>
      </c>
      <c r="F36" s="442">
        <f t="shared" ref="F36:F41" si="49">C36*D36</f>
        <v>34048</v>
      </c>
      <c r="G36" s="446">
        <f t="shared" si="38"/>
        <v>408576</v>
      </c>
      <c r="H36" s="500">
        <f t="shared" ref="H36:H41" si="50">C36</f>
        <v>16</v>
      </c>
      <c r="I36" s="430">
        <f>1.8*1460</f>
        <v>2628</v>
      </c>
      <c r="J36" s="407">
        <f t="shared" si="30"/>
        <v>2102.4</v>
      </c>
      <c r="K36" s="442">
        <f t="shared" ref="K36:K41" si="51">H36*I36</f>
        <v>42048</v>
      </c>
      <c r="L36" s="446">
        <f t="shared" si="39"/>
        <v>504576</v>
      </c>
      <c r="M36" s="500">
        <f t="shared" si="40"/>
        <v>0</v>
      </c>
      <c r="N36" s="430">
        <f t="shared" si="41"/>
        <v>500</v>
      </c>
      <c r="O36" s="407">
        <f t="shared" si="33"/>
        <v>400</v>
      </c>
      <c r="P36" s="442">
        <f t="shared" si="42"/>
        <v>8000</v>
      </c>
      <c r="Q36" s="446">
        <f t="shared" si="43"/>
        <v>96000</v>
      </c>
      <c r="T36" s="7"/>
      <c r="U36" s="7"/>
      <c r="V36" s="7"/>
      <c r="W36" s="7"/>
      <c r="X36" s="7"/>
      <c r="Y36" s="7"/>
      <c r="Z36" s="7"/>
    </row>
    <row r="37" spans="1:26" s="43" customFormat="1" ht="24" customHeight="1">
      <c r="A37" s="431">
        <v>7</v>
      </c>
      <c r="B37" s="509" t="s">
        <v>328</v>
      </c>
      <c r="C37" s="499">
        <v>63</v>
      </c>
      <c r="D37" s="430">
        <f>1.2*1330</f>
        <v>1596</v>
      </c>
      <c r="E37" s="407">
        <f t="shared" si="27"/>
        <v>1276.8</v>
      </c>
      <c r="F37" s="442">
        <f t="shared" ref="F37:F38" si="52">C37*D37</f>
        <v>100548</v>
      </c>
      <c r="G37" s="446">
        <f t="shared" ref="G37:G38" si="53">F37*12</f>
        <v>1206576</v>
      </c>
      <c r="H37" s="500">
        <f t="shared" ref="H37:H38" si="54">C37</f>
        <v>63</v>
      </c>
      <c r="I37" s="430">
        <f>1.4*1460</f>
        <v>2043.9999999999998</v>
      </c>
      <c r="J37" s="407">
        <f t="shared" si="30"/>
        <v>1635.1999999999998</v>
      </c>
      <c r="K37" s="442">
        <f t="shared" ref="K37" si="55">H37*I37</f>
        <v>128771.99999999999</v>
      </c>
      <c r="L37" s="446">
        <f t="shared" ref="L37" si="56">K37*12</f>
        <v>1545263.9999999998</v>
      </c>
      <c r="M37" s="500">
        <f t="shared" ref="M37" si="57">H37-C37</f>
        <v>0</v>
      </c>
      <c r="N37" s="430">
        <f t="shared" ref="N37" si="58">I37-D37</f>
        <v>447.99999999999977</v>
      </c>
      <c r="O37" s="407">
        <f t="shared" si="33"/>
        <v>358.39999999999981</v>
      </c>
      <c r="P37" s="442">
        <f t="shared" ref="P37" si="59">H37*N37</f>
        <v>28223.999999999985</v>
      </c>
      <c r="Q37" s="446">
        <f t="shared" ref="Q37" si="60">P37*12</f>
        <v>338687.99999999983</v>
      </c>
      <c r="T37" s="7"/>
      <c r="U37" s="7"/>
      <c r="V37" s="7"/>
      <c r="W37" s="7"/>
      <c r="X37" s="7"/>
      <c r="Y37" s="7"/>
      <c r="Z37" s="7"/>
    </row>
    <row r="38" spans="1:26" s="43" customFormat="1" ht="24" customHeight="1">
      <c r="A38" s="431">
        <v>8</v>
      </c>
      <c r="B38" s="509" t="s">
        <v>371</v>
      </c>
      <c r="C38" s="499">
        <v>24</v>
      </c>
      <c r="D38" s="430">
        <f>1.1*1330</f>
        <v>1463.0000000000002</v>
      </c>
      <c r="E38" s="407">
        <f t="shared" si="27"/>
        <v>1170.4000000000001</v>
      </c>
      <c r="F38" s="442">
        <f t="shared" si="52"/>
        <v>35112.000000000007</v>
      </c>
      <c r="G38" s="446">
        <f t="shared" si="53"/>
        <v>421344.00000000012</v>
      </c>
      <c r="H38" s="500">
        <f t="shared" si="54"/>
        <v>24</v>
      </c>
      <c r="I38" s="430">
        <f>1.3*1460</f>
        <v>1898</v>
      </c>
      <c r="J38" s="407">
        <f t="shared" si="30"/>
        <v>1518.4</v>
      </c>
      <c r="K38" s="442">
        <f t="shared" si="51"/>
        <v>45552</v>
      </c>
      <c r="L38" s="446">
        <f t="shared" si="39"/>
        <v>546624</v>
      </c>
      <c r="M38" s="500">
        <f t="shared" si="40"/>
        <v>0</v>
      </c>
      <c r="N38" s="430">
        <f t="shared" si="41"/>
        <v>434.99999999999977</v>
      </c>
      <c r="O38" s="407">
        <f t="shared" si="33"/>
        <v>347.99999999999983</v>
      </c>
      <c r="P38" s="442">
        <f t="shared" si="42"/>
        <v>10439.999999999995</v>
      </c>
      <c r="Q38" s="446">
        <f t="shared" si="43"/>
        <v>125279.99999999994</v>
      </c>
      <c r="T38" s="7"/>
      <c r="U38" s="7"/>
      <c r="V38" s="7"/>
      <c r="W38" s="7"/>
      <c r="X38" s="7"/>
      <c r="Y38" s="7"/>
      <c r="Z38" s="7"/>
    </row>
    <row r="39" spans="1:26" s="43" customFormat="1" ht="24" customHeight="1">
      <c r="A39" s="431">
        <v>9</v>
      </c>
      <c r="B39" s="509" t="s">
        <v>372</v>
      </c>
      <c r="C39" s="499">
        <v>23</v>
      </c>
      <c r="D39" s="430">
        <f>1.2*1330</f>
        <v>1596</v>
      </c>
      <c r="E39" s="407">
        <f t="shared" si="27"/>
        <v>1276.8</v>
      </c>
      <c r="F39" s="442">
        <f t="shared" ref="F39:F40" si="61">C39*D39</f>
        <v>36708</v>
      </c>
      <c r="G39" s="446">
        <f t="shared" ref="G39:G40" si="62">F39*12</f>
        <v>440496</v>
      </c>
      <c r="H39" s="500">
        <f t="shared" ref="H39:H40" si="63">C39</f>
        <v>23</v>
      </c>
      <c r="I39" s="430">
        <f>1.4*1460</f>
        <v>2043.9999999999998</v>
      </c>
      <c r="J39" s="407">
        <f t="shared" si="30"/>
        <v>1635.1999999999998</v>
      </c>
      <c r="K39" s="442">
        <f t="shared" ref="K39:K40" si="64">H39*I39</f>
        <v>47011.999999999993</v>
      </c>
      <c r="L39" s="446">
        <f t="shared" ref="L39:L40" si="65">K39*12</f>
        <v>564143.99999999988</v>
      </c>
      <c r="M39" s="500">
        <f t="shared" ref="M39:M40" si="66">H39-C39</f>
        <v>0</v>
      </c>
      <c r="N39" s="430">
        <f t="shared" ref="N39:N40" si="67">I39-D39</f>
        <v>447.99999999999977</v>
      </c>
      <c r="O39" s="407">
        <f t="shared" si="33"/>
        <v>358.39999999999981</v>
      </c>
      <c r="P39" s="442">
        <f t="shared" ref="P39:P40" si="68">H39*N39</f>
        <v>10303.999999999995</v>
      </c>
      <c r="Q39" s="446">
        <f t="shared" ref="Q39:Q40" si="69">P39*12</f>
        <v>123647.99999999994</v>
      </c>
      <c r="T39" s="7"/>
      <c r="U39" s="7"/>
      <c r="V39" s="7"/>
      <c r="W39" s="7"/>
      <c r="X39" s="7"/>
      <c r="Y39" s="7"/>
      <c r="Z39" s="7"/>
    </row>
    <row r="40" spans="1:26" s="43" customFormat="1" ht="24" customHeight="1">
      <c r="A40" s="431">
        <v>10</v>
      </c>
      <c r="B40" s="509" t="s">
        <v>373</v>
      </c>
      <c r="C40" s="499">
        <v>45</v>
      </c>
      <c r="D40" s="430">
        <f>0.75*1330+0.5</f>
        <v>998</v>
      </c>
      <c r="E40" s="407">
        <f t="shared" si="27"/>
        <v>798.4</v>
      </c>
      <c r="F40" s="442">
        <f t="shared" si="61"/>
        <v>44910</v>
      </c>
      <c r="G40" s="446">
        <f t="shared" si="62"/>
        <v>538920</v>
      </c>
      <c r="H40" s="500">
        <f t="shared" si="63"/>
        <v>45</v>
      </c>
      <c r="I40" s="430">
        <f>0.85*1460</f>
        <v>1241</v>
      </c>
      <c r="J40" s="407">
        <f t="shared" si="30"/>
        <v>992.8</v>
      </c>
      <c r="K40" s="442">
        <f t="shared" si="64"/>
        <v>55845</v>
      </c>
      <c r="L40" s="446">
        <f t="shared" si="65"/>
        <v>670140</v>
      </c>
      <c r="M40" s="500">
        <f t="shared" si="66"/>
        <v>0</v>
      </c>
      <c r="N40" s="430">
        <f t="shared" si="67"/>
        <v>243</v>
      </c>
      <c r="O40" s="407">
        <f t="shared" si="33"/>
        <v>194.4</v>
      </c>
      <c r="P40" s="442">
        <f t="shared" si="68"/>
        <v>10935</v>
      </c>
      <c r="Q40" s="446">
        <f t="shared" si="69"/>
        <v>131220</v>
      </c>
      <c r="T40" s="7"/>
      <c r="U40" s="7"/>
      <c r="V40" s="7"/>
      <c r="W40" s="7"/>
      <c r="X40" s="7"/>
      <c r="Y40" s="7"/>
      <c r="Z40" s="7"/>
    </row>
    <row r="41" spans="1:26" s="43" customFormat="1" ht="24" customHeight="1" thickBot="1">
      <c r="A41" s="432">
        <v>11</v>
      </c>
      <c r="B41" s="509" t="s">
        <v>377</v>
      </c>
      <c r="C41" s="501">
        <v>1</v>
      </c>
      <c r="D41" s="433">
        <f>0.65*1330+0.5</f>
        <v>865</v>
      </c>
      <c r="E41" s="434">
        <f t="shared" si="27"/>
        <v>692</v>
      </c>
      <c r="F41" s="443">
        <f t="shared" si="49"/>
        <v>865</v>
      </c>
      <c r="G41" s="448">
        <f t="shared" si="38"/>
        <v>10380</v>
      </c>
      <c r="H41" s="502">
        <f t="shared" si="50"/>
        <v>1</v>
      </c>
      <c r="I41" s="433">
        <f>0.75*1460</f>
        <v>1095</v>
      </c>
      <c r="J41" s="434">
        <f t="shared" si="30"/>
        <v>876</v>
      </c>
      <c r="K41" s="443">
        <f t="shared" si="51"/>
        <v>1095</v>
      </c>
      <c r="L41" s="448">
        <f t="shared" si="39"/>
        <v>13140</v>
      </c>
      <c r="M41" s="502">
        <f t="shared" si="40"/>
        <v>0</v>
      </c>
      <c r="N41" s="433">
        <f t="shared" si="41"/>
        <v>230</v>
      </c>
      <c r="O41" s="434">
        <f t="shared" si="33"/>
        <v>184</v>
      </c>
      <c r="P41" s="443">
        <f t="shared" si="42"/>
        <v>230</v>
      </c>
      <c r="Q41" s="448">
        <f t="shared" si="43"/>
        <v>2760</v>
      </c>
      <c r="T41" s="7"/>
      <c r="U41" s="7"/>
      <c r="V41" s="7"/>
      <c r="W41" s="7"/>
      <c r="X41" s="7"/>
      <c r="Y41" s="7"/>
      <c r="Z41" s="7"/>
    </row>
    <row r="42" spans="1:26" ht="1.5" customHeight="1"/>
    <row r="43" spans="1:26" ht="20.25" customHeight="1" thickBot="1">
      <c r="A43" s="698" t="s">
        <v>375</v>
      </c>
      <c r="B43" s="698"/>
      <c r="C43" s="698"/>
      <c r="D43" s="698"/>
      <c r="E43" s="698"/>
      <c r="F43" s="698"/>
      <c r="G43" s="698"/>
      <c r="H43" s="698"/>
      <c r="I43" s="698"/>
      <c r="J43" s="698"/>
      <c r="K43" s="698"/>
      <c r="L43" s="698"/>
      <c r="M43" s="698"/>
      <c r="N43" s="698"/>
      <c r="O43" s="698"/>
      <c r="P43" s="698"/>
      <c r="Q43" s="698"/>
    </row>
    <row r="44" spans="1:26" ht="15.75" hidden="1" thickBot="1"/>
    <row r="45" spans="1:26" ht="18.75" hidden="1" customHeight="1" thickBot="1">
      <c r="A45" s="699" t="s">
        <v>60</v>
      </c>
      <c r="B45" s="701" t="s">
        <v>61</v>
      </c>
      <c r="C45" s="703" t="s">
        <v>367</v>
      </c>
      <c r="D45" s="704"/>
      <c r="E45" s="704"/>
      <c r="F45" s="704"/>
      <c r="G45" s="705"/>
      <c r="H45" s="703" t="s">
        <v>368</v>
      </c>
      <c r="I45" s="704"/>
      <c r="J45" s="704"/>
      <c r="K45" s="704"/>
      <c r="L45" s="705"/>
      <c r="M45" s="703" t="s">
        <v>349</v>
      </c>
      <c r="N45" s="704"/>
      <c r="O45" s="704"/>
      <c r="P45" s="704"/>
      <c r="Q45" s="705"/>
    </row>
    <row r="46" spans="1:26" s="1" customFormat="1" ht="46.5" hidden="1" customHeight="1" thickBot="1">
      <c r="A46" s="700"/>
      <c r="B46" s="702"/>
      <c r="C46" s="454" t="s">
        <v>62</v>
      </c>
      <c r="D46" s="450" t="s">
        <v>63</v>
      </c>
      <c r="E46" s="451" t="s">
        <v>351</v>
      </c>
      <c r="F46" s="452" t="s">
        <v>33</v>
      </c>
      <c r="G46" s="453" t="s">
        <v>32</v>
      </c>
      <c r="H46" s="224" t="s">
        <v>62</v>
      </c>
      <c r="I46" s="436" t="s">
        <v>63</v>
      </c>
      <c r="J46" s="230" t="s">
        <v>351</v>
      </c>
      <c r="K46" s="225" t="s">
        <v>33</v>
      </c>
      <c r="L46" s="226" t="s">
        <v>32</v>
      </c>
      <c r="M46" s="224" t="s">
        <v>62</v>
      </c>
      <c r="N46" s="436" t="s">
        <v>63</v>
      </c>
      <c r="O46" s="230" t="s">
        <v>351</v>
      </c>
      <c r="P46" s="225" t="s">
        <v>33</v>
      </c>
      <c r="Q46" s="226" t="s">
        <v>32</v>
      </c>
    </row>
    <row r="47" spans="1:26" s="42" customFormat="1" ht="24" customHeight="1" thickBot="1">
      <c r="A47" s="408"/>
      <c r="B47" s="465" t="s">
        <v>374</v>
      </c>
      <c r="C47" s="466">
        <f>SUM(C48:C57)</f>
        <v>20</v>
      </c>
      <c r="D47" s="467" t="s">
        <v>12</v>
      </c>
      <c r="E47" s="467" t="s">
        <v>12</v>
      </c>
      <c r="F47" s="468">
        <f>SUM(F48:F57)</f>
        <v>25542</v>
      </c>
      <c r="G47" s="469">
        <f>SUM(G48:G57)</f>
        <v>306504</v>
      </c>
      <c r="H47" s="466">
        <f>SUM(H48:H57)</f>
        <v>20</v>
      </c>
      <c r="I47" s="467" t="s">
        <v>12</v>
      </c>
      <c r="J47" s="467" t="s">
        <v>12</v>
      </c>
      <c r="K47" s="468">
        <f>SUM(K48:K57)</f>
        <v>32552</v>
      </c>
      <c r="L47" s="469">
        <f>SUM(L48:L57)</f>
        <v>390624</v>
      </c>
      <c r="M47" s="466">
        <f>SUM(M48:M57)</f>
        <v>0</v>
      </c>
      <c r="N47" s="467" t="s">
        <v>12</v>
      </c>
      <c r="O47" s="467" t="s">
        <v>12</v>
      </c>
      <c r="P47" s="468">
        <f>SUM(P48:P57)</f>
        <v>7009.9999999999982</v>
      </c>
      <c r="Q47" s="504">
        <f>SUM(Q48:Q57)</f>
        <v>84119.999999999971</v>
      </c>
      <c r="S47" s="1"/>
      <c r="T47" s="1"/>
      <c r="U47" s="1"/>
    </row>
    <row r="48" spans="1:26" ht="25.5" customHeight="1">
      <c r="A48" s="431">
        <v>1</v>
      </c>
      <c r="B48" s="492" t="s">
        <v>101</v>
      </c>
      <c r="C48" s="455">
        <v>2</v>
      </c>
      <c r="D48" s="444">
        <f>1.36*1330+0.2</f>
        <v>1809.0000000000002</v>
      </c>
      <c r="E48" s="477">
        <f t="shared" ref="E48:E57" si="70">D48-D48*20%</f>
        <v>1447.2000000000003</v>
      </c>
      <c r="F48" s="456">
        <f t="shared" ref="F48:F57" si="71">C48*D48</f>
        <v>3618.0000000000005</v>
      </c>
      <c r="G48" s="457">
        <f t="shared" ref="G48:G57" si="72">F48*12</f>
        <v>43416.000000000007</v>
      </c>
      <c r="H48" s="478">
        <f t="shared" ref="H48:H57" si="73">C48</f>
        <v>2</v>
      </c>
      <c r="I48" s="444">
        <f>1.56*1460+0.4</f>
        <v>2278</v>
      </c>
      <c r="J48" s="477">
        <f t="shared" ref="J48:J57" si="74">I48-I48*20%</f>
        <v>1822.4</v>
      </c>
      <c r="K48" s="456">
        <f t="shared" ref="K48:K57" si="75">H48*I48</f>
        <v>4556</v>
      </c>
      <c r="L48" s="457">
        <f t="shared" ref="L48:L57" si="76">K48*12</f>
        <v>54672</v>
      </c>
      <c r="M48" s="478">
        <f t="shared" ref="M48:M57" si="77">H48-C48</f>
        <v>0</v>
      </c>
      <c r="N48" s="444">
        <f t="shared" ref="N48:N57" si="78">I48-D48</f>
        <v>468.99999999999977</v>
      </c>
      <c r="O48" s="477">
        <f t="shared" ref="O48:O57" si="79">N48-N48*20%</f>
        <v>375.19999999999982</v>
      </c>
      <c r="P48" s="456">
        <f t="shared" ref="P48:P57" si="80">H48*N48</f>
        <v>937.99999999999955</v>
      </c>
      <c r="Q48" s="457">
        <f t="shared" ref="Q48:Q57" si="81">P48*12</f>
        <v>11255.999999999995</v>
      </c>
    </row>
    <row r="49" spans="1:18" ht="20.25" customHeight="1">
      <c r="A49" s="431">
        <v>2</v>
      </c>
      <c r="B49" s="493" t="s">
        <v>102</v>
      </c>
      <c r="C49" s="227">
        <v>1</v>
      </c>
      <c r="D49" s="430">
        <f>1.1*1330</f>
        <v>1463.0000000000002</v>
      </c>
      <c r="E49" s="407">
        <f t="shared" si="70"/>
        <v>1170.4000000000001</v>
      </c>
      <c r="F49" s="442">
        <f t="shared" si="71"/>
        <v>1463.0000000000002</v>
      </c>
      <c r="G49" s="446">
        <f t="shared" si="72"/>
        <v>17556.000000000004</v>
      </c>
      <c r="H49" s="463">
        <f t="shared" si="73"/>
        <v>1</v>
      </c>
      <c r="I49" s="430">
        <f>1.3*1460</f>
        <v>1898</v>
      </c>
      <c r="J49" s="407">
        <f t="shared" si="74"/>
        <v>1518.4</v>
      </c>
      <c r="K49" s="442">
        <f t="shared" si="75"/>
        <v>1898</v>
      </c>
      <c r="L49" s="446">
        <f t="shared" si="76"/>
        <v>22776</v>
      </c>
      <c r="M49" s="463">
        <f t="shared" si="77"/>
        <v>0</v>
      </c>
      <c r="N49" s="430">
        <f t="shared" si="78"/>
        <v>434.99999999999977</v>
      </c>
      <c r="O49" s="407">
        <f t="shared" si="79"/>
        <v>347.99999999999983</v>
      </c>
      <c r="P49" s="442">
        <f t="shared" si="80"/>
        <v>434.99999999999977</v>
      </c>
      <c r="Q49" s="446">
        <f t="shared" si="81"/>
        <v>5219.9999999999973</v>
      </c>
    </row>
    <row r="50" spans="1:18" ht="25.5" customHeight="1">
      <c r="A50" s="431">
        <v>3</v>
      </c>
      <c r="B50" s="493" t="s">
        <v>103</v>
      </c>
      <c r="C50" s="227">
        <v>1</v>
      </c>
      <c r="D50" s="430">
        <f>1.2*1330</f>
        <v>1596</v>
      </c>
      <c r="E50" s="407">
        <f t="shared" si="70"/>
        <v>1276.8</v>
      </c>
      <c r="F50" s="442">
        <f t="shared" si="71"/>
        <v>1596</v>
      </c>
      <c r="G50" s="446">
        <f t="shared" si="72"/>
        <v>19152</v>
      </c>
      <c r="H50" s="463">
        <f t="shared" si="73"/>
        <v>1</v>
      </c>
      <c r="I50" s="430">
        <f>1.4*1460</f>
        <v>2043.9999999999998</v>
      </c>
      <c r="J50" s="407">
        <f t="shared" si="74"/>
        <v>1635.1999999999998</v>
      </c>
      <c r="K50" s="442">
        <f t="shared" si="75"/>
        <v>2043.9999999999998</v>
      </c>
      <c r="L50" s="446">
        <f t="shared" si="76"/>
        <v>24527.999999999996</v>
      </c>
      <c r="M50" s="463">
        <f t="shared" si="77"/>
        <v>0</v>
      </c>
      <c r="N50" s="430">
        <f t="shared" si="78"/>
        <v>447.99999999999977</v>
      </c>
      <c r="O50" s="407">
        <f t="shared" si="79"/>
        <v>358.39999999999981</v>
      </c>
      <c r="P50" s="442">
        <f t="shared" si="80"/>
        <v>447.99999999999977</v>
      </c>
      <c r="Q50" s="446">
        <f t="shared" si="81"/>
        <v>5375.9999999999973</v>
      </c>
    </row>
    <row r="51" spans="1:18" ht="20.25" customHeight="1">
      <c r="A51" s="431">
        <v>4</v>
      </c>
      <c r="B51" s="493" t="s">
        <v>371</v>
      </c>
      <c r="C51" s="227">
        <v>2</v>
      </c>
      <c r="D51" s="430">
        <f>1.1*1330</f>
        <v>1463.0000000000002</v>
      </c>
      <c r="E51" s="407">
        <f t="shared" si="70"/>
        <v>1170.4000000000001</v>
      </c>
      <c r="F51" s="442">
        <f t="shared" si="71"/>
        <v>2926.0000000000005</v>
      </c>
      <c r="G51" s="446">
        <f t="shared" si="72"/>
        <v>35112.000000000007</v>
      </c>
      <c r="H51" s="463">
        <f t="shared" si="73"/>
        <v>2</v>
      </c>
      <c r="I51" s="430">
        <f>1.3*1460</f>
        <v>1898</v>
      </c>
      <c r="J51" s="407">
        <f t="shared" si="74"/>
        <v>1518.4</v>
      </c>
      <c r="K51" s="442">
        <f t="shared" si="75"/>
        <v>3796</v>
      </c>
      <c r="L51" s="446">
        <f t="shared" si="76"/>
        <v>45552</v>
      </c>
      <c r="M51" s="463">
        <f t="shared" si="77"/>
        <v>0</v>
      </c>
      <c r="N51" s="430">
        <f t="shared" si="78"/>
        <v>434.99999999999977</v>
      </c>
      <c r="O51" s="407">
        <f t="shared" si="79"/>
        <v>347.99999999999983</v>
      </c>
      <c r="P51" s="442">
        <f t="shared" si="80"/>
        <v>869.99999999999955</v>
      </c>
      <c r="Q51" s="446">
        <f t="shared" si="81"/>
        <v>10439.999999999995</v>
      </c>
    </row>
    <row r="52" spans="1:18" ht="20.25" customHeight="1">
      <c r="A52" s="431">
        <v>5</v>
      </c>
      <c r="B52" s="493" t="s">
        <v>105</v>
      </c>
      <c r="C52" s="227">
        <v>1</v>
      </c>
      <c r="D52" s="430">
        <f>0.74*1330+0.8</f>
        <v>984.99999999999989</v>
      </c>
      <c r="E52" s="407">
        <f t="shared" si="70"/>
        <v>787.99999999999989</v>
      </c>
      <c r="F52" s="442">
        <f t="shared" si="71"/>
        <v>984.99999999999989</v>
      </c>
      <c r="G52" s="446">
        <f t="shared" si="72"/>
        <v>11819.999999999998</v>
      </c>
      <c r="H52" s="463">
        <f t="shared" si="73"/>
        <v>1</v>
      </c>
      <c r="I52" s="430">
        <f>0.85*1460</f>
        <v>1241</v>
      </c>
      <c r="J52" s="407">
        <f t="shared" si="74"/>
        <v>992.8</v>
      </c>
      <c r="K52" s="442">
        <f t="shared" si="75"/>
        <v>1241</v>
      </c>
      <c r="L52" s="446">
        <f t="shared" si="76"/>
        <v>14892</v>
      </c>
      <c r="M52" s="463">
        <f t="shared" si="77"/>
        <v>0</v>
      </c>
      <c r="N52" s="430">
        <f t="shared" si="78"/>
        <v>256.00000000000011</v>
      </c>
      <c r="O52" s="407">
        <f t="shared" si="79"/>
        <v>204.8000000000001</v>
      </c>
      <c r="P52" s="442">
        <f t="shared" si="80"/>
        <v>256.00000000000011</v>
      </c>
      <c r="Q52" s="446">
        <f t="shared" si="81"/>
        <v>3072.0000000000014</v>
      </c>
    </row>
    <row r="53" spans="1:18" ht="20.25" customHeight="1">
      <c r="A53" s="431">
        <v>6</v>
      </c>
      <c r="B53" s="493" t="s">
        <v>106</v>
      </c>
      <c r="C53" s="227">
        <v>3</v>
      </c>
      <c r="D53" s="430">
        <f>1.2*1330</f>
        <v>1596</v>
      </c>
      <c r="E53" s="407">
        <f t="shared" si="70"/>
        <v>1276.8</v>
      </c>
      <c r="F53" s="442">
        <f t="shared" si="71"/>
        <v>4788</v>
      </c>
      <c r="G53" s="446">
        <f t="shared" si="72"/>
        <v>57456</v>
      </c>
      <c r="H53" s="463">
        <f t="shared" si="73"/>
        <v>3</v>
      </c>
      <c r="I53" s="430">
        <f>1.4*1460</f>
        <v>2043.9999999999998</v>
      </c>
      <c r="J53" s="407">
        <f t="shared" si="74"/>
        <v>1635.1999999999998</v>
      </c>
      <c r="K53" s="442">
        <f t="shared" si="75"/>
        <v>6131.9999999999991</v>
      </c>
      <c r="L53" s="446">
        <f t="shared" si="76"/>
        <v>73583.999999999985</v>
      </c>
      <c r="M53" s="463">
        <f t="shared" si="77"/>
        <v>0</v>
      </c>
      <c r="N53" s="430">
        <f t="shared" si="78"/>
        <v>447.99999999999977</v>
      </c>
      <c r="O53" s="407">
        <f t="shared" si="79"/>
        <v>358.39999999999981</v>
      </c>
      <c r="P53" s="442">
        <f t="shared" si="80"/>
        <v>1343.9999999999993</v>
      </c>
      <c r="Q53" s="446">
        <f t="shared" si="81"/>
        <v>16127.999999999993</v>
      </c>
    </row>
    <row r="54" spans="1:18" ht="20.25" customHeight="1">
      <c r="A54" s="431">
        <v>7</v>
      </c>
      <c r="B54" s="493" t="s">
        <v>13</v>
      </c>
      <c r="C54" s="227">
        <v>2</v>
      </c>
      <c r="D54" s="430">
        <f>1.2*1330</f>
        <v>1596</v>
      </c>
      <c r="E54" s="407">
        <f t="shared" si="70"/>
        <v>1276.8</v>
      </c>
      <c r="F54" s="442">
        <f t="shared" si="71"/>
        <v>3192</v>
      </c>
      <c r="G54" s="446">
        <f t="shared" si="72"/>
        <v>38304</v>
      </c>
      <c r="H54" s="463">
        <f t="shared" si="73"/>
        <v>2</v>
      </c>
      <c r="I54" s="430">
        <f>1.4*1460</f>
        <v>2043.9999999999998</v>
      </c>
      <c r="J54" s="407">
        <f t="shared" si="74"/>
        <v>1635.1999999999998</v>
      </c>
      <c r="K54" s="442">
        <f t="shared" si="75"/>
        <v>4087.9999999999995</v>
      </c>
      <c r="L54" s="446">
        <f t="shared" si="76"/>
        <v>49055.999999999993</v>
      </c>
      <c r="M54" s="463">
        <f t="shared" si="77"/>
        <v>0</v>
      </c>
      <c r="N54" s="430">
        <f t="shared" si="78"/>
        <v>447.99999999999977</v>
      </c>
      <c r="O54" s="407">
        <f t="shared" si="79"/>
        <v>358.39999999999981</v>
      </c>
      <c r="P54" s="442">
        <f t="shared" si="80"/>
        <v>895.99999999999955</v>
      </c>
      <c r="Q54" s="446">
        <f t="shared" si="81"/>
        <v>10751.999999999995</v>
      </c>
    </row>
    <row r="55" spans="1:18" ht="20.25" customHeight="1">
      <c r="A55" s="431">
        <v>8</v>
      </c>
      <c r="B55" s="493" t="s">
        <v>11</v>
      </c>
      <c r="C55" s="227">
        <v>3</v>
      </c>
      <c r="D55" s="430">
        <f>0.64*1330+0.8</f>
        <v>852</v>
      </c>
      <c r="E55" s="407">
        <f t="shared" si="70"/>
        <v>681.6</v>
      </c>
      <c r="F55" s="442">
        <f t="shared" si="71"/>
        <v>2556</v>
      </c>
      <c r="G55" s="446">
        <f t="shared" si="72"/>
        <v>30672</v>
      </c>
      <c r="H55" s="463">
        <f t="shared" si="73"/>
        <v>3</v>
      </c>
      <c r="I55" s="430">
        <f>0.75*1460</f>
        <v>1095</v>
      </c>
      <c r="J55" s="407">
        <f t="shared" si="74"/>
        <v>876</v>
      </c>
      <c r="K55" s="442">
        <f t="shared" si="75"/>
        <v>3285</v>
      </c>
      <c r="L55" s="446">
        <f t="shared" si="76"/>
        <v>39420</v>
      </c>
      <c r="M55" s="463">
        <f t="shared" si="77"/>
        <v>0</v>
      </c>
      <c r="N55" s="430">
        <f t="shared" si="78"/>
        <v>243</v>
      </c>
      <c r="O55" s="407">
        <f t="shared" si="79"/>
        <v>194.4</v>
      </c>
      <c r="P55" s="442">
        <f t="shared" si="80"/>
        <v>729</v>
      </c>
      <c r="Q55" s="446">
        <f t="shared" si="81"/>
        <v>8748</v>
      </c>
    </row>
    <row r="56" spans="1:18" ht="20.25" customHeight="1">
      <c r="A56" s="431">
        <v>9</v>
      </c>
      <c r="B56" s="493" t="s">
        <v>339</v>
      </c>
      <c r="C56" s="227">
        <v>1</v>
      </c>
      <c r="D56" s="430">
        <f>D55/2</f>
        <v>426</v>
      </c>
      <c r="E56" s="407">
        <f t="shared" si="70"/>
        <v>340.8</v>
      </c>
      <c r="F56" s="442">
        <f t="shared" si="71"/>
        <v>426</v>
      </c>
      <c r="G56" s="446">
        <f t="shared" si="72"/>
        <v>5112</v>
      </c>
      <c r="H56" s="463">
        <f t="shared" si="73"/>
        <v>1</v>
      </c>
      <c r="I56" s="430">
        <f>I55/2+0.5</f>
        <v>548</v>
      </c>
      <c r="J56" s="407">
        <f t="shared" si="74"/>
        <v>438.4</v>
      </c>
      <c r="K56" s="442">
        <f t="shared" si="75"/>
        <v>548</v>
      </c>
      <c r="L56" s="446">
        <f t="shared" si="76"/>
        <v>6576</v>
      </c>
      <c r="M56" s="463">
        <f t="shared" si="77"/>
        <v>0</v>
      </c>
      <c r="N56" s="430">
        <f t="shared" si="78"/>
        <v>122</v>
      </c>
      <c r="O56" s="407">
        <f t="shared" si="79"/>
        <v>97.6</v>
      </c>
      <c r="P56" s="442">
        <f t="shared" si="80"/>
        <v>122</v>
      </c>
      <c r="Q56" s="446">
        <f t="shared" si="81"/>
        <v>1464</v>
      </c>
    </row>
    <row r="57" spans="1:18" ht="22.5" customHeight="1" thickBot="1">
      <c r="A57" s="431">
        <v>10</v>
      </c>
      <c r="B57" s="494" t="s">
        <v>373</v>
      </c>
      <c r="C57" s="435">
        <f>2+2</f>
        <v>4</v>
      </c>
      <c r="D57" s="433">
        <f>0.75*1330+0.5</f>
        <v>998</v>
      </c>
      <c r="E57" s="434">
        <f t="shared" si="70"/>
        <v>798.4</v>
      </c>
      <c r="F57" s="443">
        <f t="shared" si="71"/>
        <v>3992</v>
      </c>
      <c r="G57" s="448">
        <f t="shared" si="72"/>
        <v>47904</v>
      </c>
      <c r="H57" s="464">
        <f t="shared" si="73"/>
        <v>4</v>
      </c>
      <c r="I57" s="433">
        <f>0.85*1460</f>
        <v>1241</v>
      </c>
      <c r="J57" s="434">
        <f t="shared" si="74"/>
        <v>992.8</v>
      </c>
      <c r="K57" s="443">
        <f t="shared" si="75"/>
        <v>4964</v>
      </c>
      <c r="L57" s="448">
        <f t="shared" si="76"/>
        <v>59568</v>
      </c>
      <c r="M57" s="464">
        <f t="shared" si="77"/>
        <v>0</v>
      </c>
      <c r="N57" s="433">
        <f t="shared" si="78"/>
        <v>243</v>
      </c>
      <c r="O57" s="434">
        <f t="shared" si="79"/>
        <v>194.4</v>
      </c>
      <c r="P57" s="443">
        <f t="shared" si="80"/>
        <v>972</v>
      </c>
      <c r="Q57" s="448">
        <f t="shared" si="81"/>
        <v>11664</v>
      </c>
    </row>
    <row r="58" spans="1:18" ht="18.75" customHeight="1">
      <c r="A58" s="54"/>
      <c r="B58" s="694" t="s">
        <v>384</v>
      </c>
      <c r="C58" s="695"/>
      <c r="D58" s="695"/>
      <c r="E58" s="695"/>
      <c r="F58" s="486"/>
      <c r="G58" s="692">
        <f>G47+G30+G19+G4</f>
        <v>4940628</v>
      </c>
      <c r="H58" s="487"/>
      <c r="I58" s="484"/>
      <c r="J58" s="485"/>
      <c r="K58" s="486"/>
      <c r="L58" s="692">
        <f>L47+L30+L19+L4</f>
        <v>6108456</v>
      </c>
      <c r="M58" s="487"/>
      <c r="N58" s="484"/>
      <c r="O58" s="484"/>
      <c r="P58" s="486"/>
      <c r="Q58" s="692">
        <f>Q47+Q30+Q19+Q4</f>
        <v>1167827.9999999998</v>
      </c>
      <c r="R58" s="503">
        <f>L58-G58-Q58</f>
        <v>0</v>
      </c>
    </row>
    <row r="59" spans="1:18" ht="7.5" customHeight="1" thickBot="1">
      <c r="B59" s="696"/>
      <c r="C59" s="697"/>
      <c r="D59" s="697"/>
      <c r="E59" s="697"/>
      <c r="F59" s="491"/>
      <c r="G59" s="693"/>
      <c r="H59" s="488"/>
      <c r="I59" s="489"/>
      <c r="J59" s="490"/>
      <c r="K59" s="491"/>
      <c r="L59" s="693"/>
      <c r="M59" s="488"/>
      <c r="N59" s="489"/>
      <c r="O59" s="489"/>
      <c r="P59" s="491"/>
      <c r="Q59" s="693"/>
      <c r="R59" s="503">
        <f t="shared" ref="R59:R64" si="82">L59-G59-Q59</f>
        <v>0</v>
      </c>
    </row>
    <row r="60" spans="1:18" ht="15.75" thickBot="1">
      <c r="R60" s="503">
        <f t="shared" si="82"/>
        <v>0</v>
      </c>
    </row>
    <row r="61" spans="1:18" ht="19.5" customHeight="1" thickBot="1">
      <c r="B61" s="690" t="s">
        <v>385</v>
      </c>
      <c r="C61" s="691"/>
      <c r="D61" s="691"/>
      <c r="E61" s="691"/>
      <c r="F61" s="486"/>
      <c r="G61" s="507" t="e">
        <f>#REF!+#REF!</f>
        <v>#REF!</v>
      </c>
      <c r="H61" s="495"/>
      <c r="I61" s="496"/>
      <c r="J61" s="497"/>
      <c r="K61" s="498"/>
      <c r="L61" s="507" t="e">
        <f>#REF!+#REF!</f>
        <v>#REF!</v>
      </c>
      <c r="M61" s="495"/>
      <c r="N61" s="496"/>
      <c r="O61" s="496"/>
      <c r="P61" s="498"/>
      <c r="Q61" s="507" t="e">
        <f>#REF!+#REF!</f>
        <v>#REF!</v>
      </c>
      <c r="R61" s="503" t="e">
        <f t="shared" si="82"/>
        <v>#REF!</v>
      </c>
    </row>
    <row r="62" spans="1:18" ht="19.5" customHeight="1" thickBot="1">
      <c r="B62" s="687" t="s">
        <v>383</v>
      </c>
      <c r="C62" s="688"/>
      <c r="D62" s="688"/>
      <c r="E62" s="689"/>
      <c r="F62" s="491"/>
      <c r="G62" s="397" t="e">
        <f>#REF!</f>
        <v>#REF!</v>
      </c>
      <c r="H62" s="488"/>
      <c r="I62" s="489"/>
      <c r="J62" s="490"/>
      <c r="K62" s="491"/>
      <c r="L62" s="397" t="e">
        <f>#REF!</f>
        <v>#REF!</v>
      </c>
      <c r="M62" s="488"/>
      <c r="N62" s="489"/>
      <c r="O62" s="489"/>
      <c r="P62" s="491"/>
      <c r="Q62" s="397" t="e">
        <f>#REF!</f>
        <v>#REF!</v>
      </c>
      <c r="R62" s="503" t="e">
        <f>L62-G62-Q62</f>
        <v>#REF!</v>
      </c>
    </row>
    <row r="63" spans="1:18" ht="15.75" customHeight="1" thickBot="1">
      <c r="R63" s="503">
        <f t="shared" si="82"/>
        <v>0</v>
      </c>
    </row>
    <row r="64" spans="1:18" ht="21.75" customHeight="1" thickBot="1">
      <c r="B64" s="687" t="s">
        <v>382</v>
      </c>
      <c r="C64" s="688"/>
      <c r="D64" s="688"/>
      <c r="E64" s="689"/>
      <c r="F64" s="491"/>
      <c r="G64" s="505" t="e">
        <f>G62+G61+G58</f>
        <v>#REF!</v>
      </c>
      <c r="H64" s="495"/>
      <c r="I64" s="496"/>
      <c r="J64" s="497"/>
      <c r="K64" s="498"/>
      <c r="L64" s="505" t="e">
        <f>L62+L61+L58</f>
        <v>#REF!</v>
      </c>
      <c r="M64" s="495"/>
      <c r="N64" s="496"/>
      <c r="O64" s="496"/>
      <c r="P64" s="498"/>
      <c r="Q64" s="505" t="e">
        <f>Q62+Q61+Q58</f>
        <v>#REF!</v>
      </c>
      <c r="R64" s="503" t="e">
        <f t="shared" si="82"/>
        <v>#REF!</v>
      </c>
    </row>
    <row r="65" spans="17:17" ht="15.75" customHeight="1" thickBot="1">
      <c r="Q65" s="506"/>
    </row>
  </sheetData>
  <mergeCells count="31">
    <mergeCell ref="A1:Q1"/>
    <mergeCell ref="A15:Q15"/>
    <mergeCell ref="A2:A3"/>
    <mergeCell ref="B2:B3"/>
    <mergeCell ref="C2:G2"/>
    <mergeCell ref="A26:Q26"/>
    <mergeCell ref="H2:L2"/>
    <mergeCell ref="H17:L17"/>
    <mergeCell ref="M2:Q2"/>
    <mergeCell ref="M17:Q17"/>
    <mergeCell ref="A17:A18"/>
    <mergeCell ref="B17:B18"/>
    <mergeCell ref="C17:G17"/>
    <mergeCell ref="A28:A29"/>
    <mergeCell ref="B28:B29"/>
    <mergeCell ref="C28:G28"/>
    <mergeCell ref="H28:L28"/>
    <mergeCell ref="M28:Q28"/>
    <mergeCell ref="Q58:Q59"/>
    <mergeCell ref="B58:E59"/>
    <mergeCell ref="A43:Q43"/>
    <mergeCell ref="A45:A46"/>
    <mergeCell ref="B45:B46"/>
    <mergeCell ref="C45:G45"/>
    <mergeCell ref="H45:L45"/>
    <mergeCell ref="M45:Q45"/>
    <mergeCell ref="B64:E64"/>
    <mergeCell ref="B61:E61"/>
    <mergeCell ref="B62:E62"/>
    <mergeCell ref="G58:G59"/>
    <mergeCell ref="L58:L59"/>
  </mergeCells>
  <printOptions horizontalCentered="1"/>
  <pageMargins left="0.11811023622047245" right="0.11811023622047245" top="0.15748031496062992" bottom="0" header="0.11811023622047245" footer="0.11811023622047245"/>
  <pageSetup paperSize="9" scale="79" orientation="landscape" r:id="rId1"/>
  <rowBreaks count="1" manualBreakCount="1">
    <brk id="24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7"/>
  <sheetViews>
    <sheetView view="pageBreakPreview" zoomScaleSheetLayoutView="100" workbookViewId="0">
      <selection activeCell="B2" sqref="B2:C2"/>
    </sheetView>
  </sheetViews>
  <sheetFormatPr defaultRowHeight="15"/>
  <cols>
    <col min="1" max="1" width="4.42578125" customWidth="1"/>
    <col min="2" max="2" width="46.42578125" customWidth="1"/>
    <col min="3" max="3" width="28.28515625" customWidth="1"/>
    <col min="4" max="5" width="18.5703125" customWidth="1"/>
  </cols>
  <sheetData>
    <row r="2" spans="2:11" ht="39.75" customHeight="1">
      <c r="B2" s="722" t="s">
        <v>397</v>
      </c>
      <c r="C2" s="722"/>
      <c r="D2" s="564"/>
      <c r="E2" s="564"/>
    </row>
    <row r="3" spans="2:11" ht="33" customHeight="1">
      <c r="B3" s="562" t="s">
        <v>395</v>
      </c>
      <c r="C3" s="562" t="s">
        <v>53</v>
      </c>
      <c r="D3" s="562" t="s">
        <v>263</v>
      </c>
      <c r="E3" s="562" t="s">
        <v>394</v>
      </c>
    </row>
    <row r="4" spans="2:11" ht="29.25" customHeight="1">
      <c r="B4" s="563" t="s">
        <v>30</v>
      </c>
      <c r="C4" s="563">
        <f>D4+E4</f>
        <v>26280</v>
      </c>
      <c r="D4" s="563">
        <v>19506</v>
      </c>
      <c r="E4" s="563">
        <v>6774</v>
      </c>
    </row>
    <row r="5" spans="2:11" ht="29.25" customHeight="1">
      <c r="B5" s="563" t="s">
        <v>31</v>
      </c>
      <c r="C5" s="563">
        <f>D5+E5</f>
        <v>311681</v>
      </c>
      <c r="D5" s="563">
        <v>285343</v>
      </c>
      <c r="E5" s="563">
        <v>26338</v>
      </c>
    </row>
    <row r="6" spans="2:11" ht="29.25" customHeight="1">
      <c r="B6" s="563" t="s">
        <v>392</v>
      </c>
      <c r="C6" s="563">
        <f>D6+E6</f>
        <v>1184298</v>
      </c>
      <c r="D6" s="563">
        <v>1021648</v>
      </c>
      <c r="E6" s="563">
        <v>162650</v>
      </c>
    </row>
    <row r="7" spans="2:11" ht="29.25" customHeight="1">
      <c r="B7" s="563" t="s">
        <v>393</v>
      </c>
      <c r="C7" s="563">
        <f>D7+E7</f>
        <v>185090</v>
      </c>
      <c r="D7" s="563">
        <v>185090</v>
      </c>
      <c r="E7" s="563"/>
    </row>
    <row r="8" spans="2:11" ht="27.75" customHeight="1">
      <c r="B8" s="562" t="s">
        <v>100</v>
      </c>
      <c r="C8" s="563">
        <f>C4+C5+C6+C7</f>
        <v>1707349</v>
      </c>
      <c r="D8" s="563">
        <f t="shared" ref="D8:E8" si="0">SUM(D4:D5)</f>
        <v>304849</v>
      </c>
      <c r="E8" s="563">
        <f t="shared" si="0"/>
        <v>33112</v>
      </c>
    </row>
    <row r="10" spans="2:11" ht="37.5" customHeight="1">
      <c r="B10" s="722" t="s">
        <v>396</v>
      </c>
      <c r="C10" s="722"/>
      <c r="D10" s="564"/>
      <c r="E10" s="564"/>
    </row>
    <row r="11" spans="2:11" ht="27.75" customHeight="1">
      <c r="B11" s="561" t="s">
        <v>30</v>
      </c>
      <c r="C11" s="561">
        <f>D11+E11</f>
        <v>25857</v>
      </c>
      <c r="D11" s="561">
        <v>19152</v>
      </c>
      <c r="E11" s="561">
        <v>6705</v>
      </c>
    </row>
    <row r="12" spans="2:11" ht="27.75" customHeight="1">
      <c r="B12" s="561" t="s">
        <v>31</v>
      </c>
      <c r="C12" s="561">
        <f>D12+E12</f>
        <v>306461</v>
      </c>
      <c r="D12" s="561">
        <v>280919</v>
      </c>
      <c r="E12" s="561">
        <f>22350+1596+1596</f>
        <v>25542</v>
      </c>
    </row>
    <row r="13" spans="2:11" ht="27.75" customHeight="1">
      <c r="B13" s="561" t="s">
        <v>392</v>
      </c>
      <c r="C13" s="561">
        <f>D13+E13</f>
        <v>1184298</v>
      </c>
      <c r="D13" s="561">
        <v>1021648</v>
      </c>
      <c r="E13" s="561">
        <v>162650</v>
      </c>
    </row>
    <row r="14" spans="2:11" ht="27.75" customHeight="1">
      <c r="B14" s="561" t="s">
        <v>393</v>
      </c>
      <c r="C14" s="561">
        <f>D14+E14</f>
        <v>185090</v>
      </c>
      <c r="D14" s="561">
        <v>185090</v>
      </c>
      <c r="E14" s="561"/>
    </row>
    <row r="15" spans="2:11" ht="27.75" customHeight="1">
      <c r="B15" s="562" t="s">
        <v>100</v>
      </c>
      <c r="C15" s="563">
        <f>C11+C12+C13+C14</f>
        <v>1701706</v>
      </c>
      <c r="D15" s="563">
        <f t="shared" ref="D15" si="1">SUM(D11:D12)</f>
        <v>300071</v>
      </c>
      <c r="E15" s="563">
        <f t="shared" ref="E15" si="2">SUM(E11:E12)</f>
        <v>32247</v>
      </c>
    </row>
    <row r="16" spans="2:11">
      <c r="K16">
        <f>186840+79190</f>
        <v>266030</v>
      </c>
    </row>
    <row r="17" spans="2:5" ht="27.75" customHeight="1">
      <c r="B17" s="561" t="s">
        <v>30</v>
      </c>
      <c r="C17" s="561">
        <f>D17+E17</f>
        <v>103806</v>
      </c>
      <c r="D17" s="561">
        <v>95338</v>
      </c>
      <c r="E17" s="561">
        <v>8468</v>
      </c>
    </row>
    <row r="18" spans="2:5" ht="27.75" customHeight="1">
      <c r="B18" s="561" t="s">
        <v>31</v>
      </c>
      <c r="C18" s="561">
        <f>D18+E18</f>
        <v>410771</v>
      </c>
      <c r="D18" s="561">
        <v>377848</v>
      </c>
      <c r="E18" s="561">
        <f>28835+2044+2044</f>
        <v>32923</v>
      </c>
    </row>
    <row r="19" spans="2:5" ht="27.75" customHeight="1">
      <c r="B19" s="561" t="s">
        <v>392</v>
      </c>
      <c r="C19" s="561">
        <f>D19+E19</f>
        <v>1184298</v>
      </c>
      <c r="D19" s="561">
        <v>1021648</v>
      </c>
      <c r="E19" s="561">
        <v>162650</v>
      </c>
    </row>
    <row r="20" spans="2:5" ht="27.75" customHeight="1">
      <c r="B20" s="561" t="s">
        <v>393</v>
      </c>
      <c r="C20" s="561">
        <f>D20+E20</f>
        <v>83780</v>
      </c>
      <c r="D20" s="561">
        <f>185090-101310</f>
        <v>83780</v>
      </c>
      <c r="E20" s="561"/>
    </row>
    <row r="21" spans="2:5" ht="27.75" customHeight="1">
      <c r="B21" s="562" t="s">
        <v>100</v>
      </c>
      <c r="C21" s="563">
        <f>C17+C18+C19+C20</f>
        <v>1782655</v>
      </c>
      <c r="D21" s="563">
        <f t="shared" ref="D21" si="3">SUM(D17:D18)</f>
        <v>473186</v>
      </c>
      <c r="E21" s="563">
        <f t="shared" ref="E21" si="4">SUM(E17:E18)</f>
        <v>41391</v>
      </c>
    </row>
    <row r="23" spans="2:5" ht="27.75" customHeight="1">
      <c r="B23" s="561" t="s">
        <v>30</v>
      </c>
      <c r="C23" s="561">
        <f>D23+E23</f>
        <v>103806</v>
      </c>
      <c r="D23" s="561">
        <v>95338</v>
      </c>
      <c r="E23" s="561">
        <v>8468</v>
      </c>
    </row>
    <row r="24" spans="2:5" ht="27.75" customHeight="1">
      <c r="B24" s="561" t="s">
        <v>31</v>
      </c>
      <c r="C24" s="561">
        <f>D24+E24</f>
        <v>410771</v>
      </c>
      <c r="D24" s="561">
        <v>377848</v>
      </c>
      <c r="E24" s="561">
        <f>28835+2044+2044</f>
        <v>32923</v>
      </c>
    </row>
    <row r="25" spans="2:5" ht="27.75" customHeight="1">
      <c r="B25" s="561" t="s">
        <v>392</v>
      </c>
      <c r="C25" s="561">
        <f>D25+E25</f>
        <v>918268</v>
      </c>
      <c r="D25" s="561">
        <f>1021648-186840</f>
        <v>834808</v>
      </c>
      <c r="E25" s="561">
        <f>162650-79190</f>
        <v>83460</v>
      </c>
    </row>
    <row r="26" spans="2:5" ht="27.75" customHeight="1">
      <c r="B26" s="561" t="s">
        <v>393</v>
      </c>
      <c r="C26" s="561">
        <f>D26+E26</f>
        <v>83780</v>
      </c>
      <c r="D26" s="561">
        <f>185090-101310</f>
        <v>83780</v>
      </c>
      <c r="E26" s="561"/>
    </row>
    <row r="27" spans="2:5" ht="27.75" customHeight="1">
      <c r="B27" s="562" t="s">
        <v>100</v>
      </c>
      <c r="C27" s="563">
        <f>C23+C24+C25+C26</f>
        <v>1516625</v>
      </c>
      <c r="D27" s="563">
        <f t="shared" ref="D27" si="5">SUM(D23:D24)</f>
        <v>473186</v>
      </c>
      <c r="E27" s="563">
        <f t="shared" ref="E27" si="6">SUM(E23:E24)</f>
        <v>41391</v>
      </c>
    </row>
  </sheetData>
  <mergeCells count="2">
    <mergeCell ref="B2:C2"/>
    <mergeCell ref="B10:C10"/>
  </mergeCells>
  <printOptions horizontalCentered="1"/>
  <pageMargins left="0.11811023622047245" right="0.31496062992125984" top="0.35433070866141736" bottom="0.55118110236220474" header="0.11811023622047245" footer="0.51181102362204722"/>
  <pageSetup paperSize="9" orientation="portrait" r:id="rId1"/>
  <rowBreaks count="1" manualBreakCount="1">
    <brk id="16" max="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153"/>
  <sheetViews>
    <sheetView tabSelected="1" zoomScale="115" zoomScaleNormal="115" zoomScaleSheetLayoutView="100" workbookViewId="0">
      <selection activeCell="G4" sqref="G4"/>
    </sheetView>
  </sheetViews>
  <sheetFormatPr defaultColWidth="9.140625" defaultRowHeight="15"/>
  <cols>
    <col min="1" max="2" width="3.7109375" style="583" customWidth="1"/>
    <col min="3" max="3" width="61.5703125" style="676" customWidth="1"/>
    <col min="4" max="4" width="13.28515625" style="677" customWidth="1"/>
    <col min="5" max="5" width="9" style="678" customWidth="1"/>
    <col min="6" max="6" width="10.28515625" style="679" customWidth="1"/>
    <col min="7" max="7" width="10.5703125" style="680" customWidth="1"/>
    <col min="8" max="8" width="8.42578125" style="681" customWidth="1"/>
    <col min="9" max="16384" width="9.140625" style="583"/>
  </cols>
  <sheetData>
    <row r="1" spans="1:8" ht="25.5" customHeight="1" thickBot="1">
      <c r="A1" s="727" t="s">
        <v>401</v>
      </c>
      <c r="B1" s="728"/>
      <c r="C1" s="728"/>
      <c r="D1" s="728"/>
      <c r="E1" s="728"/>
      <c r="F1" s="728"/>
      <c r="G1" s="728"/>
      <c r="H1" s="729"/>
    </row>
    <row r="2" spans="1:8" ht="25.5" customHeight="1" thickBot="1">
      <c r="A2" s="584" t="s">
        <v>60</v>
      </c>
      <c r="B2" s="585"/>
      <c r="C2" s="734" t="s">
        <v>70</v>
      </c>
      <c r="D2" s="739" t="s">
        <v>495</v>
      </c>
      <c r="E2" s="736" t="s">
        <v>400</v>
      </c>
      <c r="F2" s="737"/>
      <c r="G2" s="737"/>
      <c r="H2" s="738"/>
    </row>
    <row r="3" spans="1:8" ht="47.25" customHeight="1" thickBot="1">
      <c r="A3" s="586"/>
      <c r="B3" s="587"/>
      <c r="C3" s="735"/>
      <c r="D3" s="740"/>
      <c r="E3" s="588" t="s">
        <v>62</v>
      </c>
      <c r="F3" s="589" t="s">
        <v>63</v>
      </c>
      <c r="G3" s="590" t="s">
        <v>197</v>
      </c>
      <c r="H3" s="589" t="s">
        <v>402</v>
      </c>
    </row>
    <row r="4" spans="1:8" ht="22.5" customHeight="1" thickBot="1">
      <c r="A4" s="591"/>
      <c r="B4" s="592"/>
      <c r="C4" s="593" t="s">
        <v>71</v>
      </c>
      <c r="D4" s="594"/>
      <c r="E4" s="595">
        <f>SUM(E5:E7)</f>
        <v>4</v>
      </c>
      <c r="F4" s="596"/>
      <c r="G4" s="596">
        <f t="shared" ref="G4" si="0">SUM(G5:G7)</f>
        <v>23840</v>
      </c>
      <c r="H4" s="596"/>
    </row>
    <row r="5" spans="1:8" ht="24.75" customHeight="1">
      <c r="A5" s="597"/>
      <c r="B5" s="598"/>
      <c r="C5" s="599" t="s">
        <v>72</v>
      </c>
      <c r="D5" s="600"/>
      <c r="E5" s="601">
        <v>1</v>
      </c>
      <c r="F5" s="602">
        <f>5*1600</f>
        <v>8000</v>
      </c>
      <c r="G5" s="603">
        <f>E5*F5</f>
        <v>8000</v>
      </c>
      <c r="H5" s="604">
        <v>5</v>
      </c>
    </row>
    <row r="6" spans="1:8" ht="24.75" customHeight="1">
      <c r="A6" s="605"/>
      <c r="B6" s="606"/>
      <c r="C6" s="607" t="s">
        <v>73</v>
      </c>
      <c r="D6" s="608"/>
      <c r="E6" s="609">
        <v>1</v>
      </c>
      <c r="F6" s="610">
        <f>3.5*1600</f>
        <v>5600</v>
      </c>
      <c r="G6" s="611">
        <f>E6*F6</f>
        <v>5600</v>
      </c>
      <c r="H6" s="604">
        <v>3.5</v>
      </c>
    </row>
    <row r="7" spans="1:8" ht="24.75" customHeight="1" thickBot="1">
      <c r="A7" s="612"/>
      <c r="B7" s="613"/>
      <c r="C7" s="614" t="s">
        <v>74</v>
      </c>
      <c r="D7" s="615"/>
      <c r="E7" s="616">
        <v>2</v>
      </c>
      <c r="F7" s="577">
        <f>3.2*1600</f>
        <v>5120</v>
      </c>
      <c r="G7" s="617">
        <f>E7*F7</f>
        <v>10240</v>
      </c>
      <c r="H7" s="618">
        <v>3.2</v>
      </c>
    </row>
    <row r="8" spans="1:8" ht="59.25" customHeight="1" thickBot="1">
      <c r="A8" s="619">
        <v>1</v>
      </c>
      <c r="B8" s="620"/>
      <c r="C8" s="593" t="s">
        <v>473</v>
      </c>
      <c r="D8" s="621"/>
      <c r="E8" s="622">
        <f>E9+E10+E14+E17+E21+E24</f>
        <v>21</v>
      </c>
      <c r="F8" s="623"/>
      <c r="G8" s="623">
        <f>SUM(G9:G27)</f>
        <v>51680</v>
      </c>
      <c r="H8" s="624"/>
    </row>
    <row r="9" spans="1:8" ht="39.75" customHeight="1">
      <c r="A9" s="597"/>
      <c r="B9" s="598"/>
      <c r="C9" s="625" t="s">
        <v>365</v>
      </c>
      <c r="D9" s="626">
        <v>1.1000000000000001</v>
      </c>
      <c r="E9" s="601">
        <v>1</v>
      </c>
      <c r="F9" s="602">
        <f>2.3*1600</f>
        <v>3679.9999999999995</v>
      </c>
      <c r="G9" s="603">
        <f>E9*F9</f>
        <v>3679.9999999999995</v>
      </c>
      <c r="H9" s="627">
        <v>2.2999999999999998</v>
      </c>
    </row>
    <row r="10" spans="1:8" ht="39.75" customHeight="1">
      <c r="A10" s="605"/>
      <c r="B10" s="606"/>
      <c r="C10" s="628" t="s">
        <v>480</v>
      </c>
      <c r="D10" s="629"/>
      <c r="E10" s="628">
        <f>SUM(E11:E13)</f>
        <v>3</v>
      </c>
      <c r="F10" s="630"/>
      <c r="G10" s="630"/>
      <c r="H10" s="631"/>
    </row>
    <row r="11" spans="1:8" ht="38.25" customHeight="1">
      <c r="A11" s="605"/>
      <c r="B11" s="606"/>
      <c r="C11" s="632" t="s">
        <v>178</v>
      </c>
      <c r="D11" s="633">
        <v>2.2999999999999998</v>
      </c>
      <c r="E11" s="634">
        <v>1</v>
      </c>
      <c r="F11" s="610">
        <f>1.8*1600</f>
        <v>2880</v>
      </c>
      <c r="G11" s="635">
        <f>E11*F11</f>
        <v>2880</v>
      </c>
      <c r="H11" s="627">
        <v>1.8</v>
      </c>
    </row>
    <row r="12" spans="1:8" ht="45" customHeight="1">
      <c r="A12" s="605"/>
      <c r="B12" s="606"/>
      <c r="C12" s="636" t="s">
        <v>449</v>
      </c>
      <c r="D12" s="633">
        <v>3.5</v>
      </c>
      <c r="E12" s="634">
        <v>1</v>
      </c>
      <c r="F12" s="610">
        <f>1.4*1600</f>
        <v>2240</v>
      </c>
      <c r="G12" s="635">
        <f>E12*F12</f>
        <v>2240</v>
      </c>
      <c r="H12" s="627">
        <v>1.4</v>
      </c>
    </row>
    <row r="13" spans="1:8" ht="41.25" customHeight="1">
      <c r="A13" s="605"/>
      <c r="B13" s="606"/>
      <c r="C13" s="636" t="s">
        <v>450</v>
      </c>
      <c r="D13" s="633">
        <v>3.5</v>
      </c>
      <c r="E13" s="609">
        <v>1</v>
      </c>
      <c r="F13" s="610">
        <f>1.4*1600</f>
        <v>2240</v>
      </c>
      <c r="G13" s="611">
        <f>E13*F13</f>
        <v>2240</v>
      </c>
      <c r="H13" s="627">
        <v>1.4</v>
      </c>
    </row>
    <row r="14" spans="1:8" ht="50.25" customHeight="1">
      <c r="A14" s="605"/>
      <c r="B14" s="606"/>
      <c r="C14" s="628" t="s">
        <v>481</v>
      </c>
      <c r="D14" s="629"/>
      <c r="E14" s="628">
        <f>SUM(E15:E16)</f>
        <v>3</v>
      </c>
      <c r="F14" s="630"/>
      <c r="G14" s="630"/>
      <c r="H14" s="631"/>
    </row>
    <row r="15" spans="1:8" ht="38.25" customHeight="1">
      <c r="A15" s="605"/>
      <c r="B15" s="606"/>
      <c r="C15" s="632" t="s">
        <v>178</v>
      </c>
      <c r="D15" s="633">
        <v>2.2999999999999998</v>
      </c>
      <c r="E15" s="634">
        <v>1</v>
      </c>
      <c r="F15" s="610">
        <f>1.8*1600</f>
        <v>2880</v>
      </c>
      <c r="G15" s="635">
        <f>E15*F15</f>
        <v>2880</v>
      </c>
      <c r="H15" s="627">
        <v>1.8</v>
      </c>
    </row>
    <row r="16" spans="1:8" ht="36" customHeight="1">
      <c r="A16" s="605"/>
      <c r="B16" s="606"/>
      <c r="C16" s="637" t="s">
        <v>451</v>
      </c>
      <c r="D16" s="633">
        <v>3.5</v>
      </c>
      <c r="E16" s="634">
        <v>2</v>
      </c>
      <c r="F16" s="610">
        <f>1.4*1600</f>
        <v>2240</v>
      </c>
      <c r="G16" s="635">
        <f>E16*F16</f>
        <v>4480</v>
      </c>
      <c r="H16" s="627">
        <v>1.4</v>
      </c>
    </row>
    <row r="17" spans="1:8" ht="42" customHeight="1">
      <c r="A17" s="605"/>
      <c r="B17" s="606"/>
      <c r="C17" s="628" t="s">
        <v>482</v>
      </c>
      <c r="D17" s="629"/>
      <c r="E17" s="628">
        <f>SUM(E18:E20)</f>
        <v>6</v>
      </c>
      <c r="F17" s="630"/>
      <c r="G17" s="630"/>
      <c r="H17" s="631"/>
    </row>
    <row r="18" spans="1:8" ht="24" customHeight="1">
      <c r="A18" s="605"/>
      <c r="B18" s="606"/>
      <c r="C18" s="632" t="s">
        <v>178</v>
      </c>
      <c r="D18" s="633">
        <v>2.2999999999999998</v>
      </c>
      <c r="E18" s="634">
        <v>1</v>
      </c>
      <c r="F18" s="610">
        <f>1.8*1600</f>
        <v>2880</v>
      </c>
      <c r="G18" s="635">
        <f>E18*F18</f>
        <v>2880</v>
      </c>
      <c r="H18" s="627">
        <v>1.8</v>
      </c>
    </row>
    <row r="19" spans="1:8" ht="24" customHeight="1">
      <c r="A19" s="605"/>
      <c r="B19" s="606"/>
      <c r="C19" s="636" t="s">
        <v>452</v>
      </c>
      <c r="D19" s="633">
        <v>3.5</v>
      </c>
      <c r="E19" s="634">
        <f>5-1</f>
        <v>4</v>
      </c>
      <c r="F19" s="610">
        <f>1.4*1600</f>
        <v>2240</v>
      </c>
      <c r="G19" s="635">
        <f>E19*F19</f>
        <v>8960</v>
      </c>
      <c r="H19" s="627">
        <v>1.4</v>
      </c>
    </row>
    <row r="20" spans="1:8" ht="36.75" customHeight="1">
      <c r="A20" s="605"/>
      <c r="B20" s="606"/>
      <c r="C20" s="636" t="s">
        <v>453</v>
      </c>
      <c r="D20" s="633">
        <v>3.5</v>
      </c>
      <c r="E20" s="609">
        <v>1</v>
      </c>
      <c r="F20" s="610">
        <f>1.4*1600</f>
        <v>2240</v>
      </c>
      <c r="G20" s="611">
        <f>E20*F20</f>
        <v>2240</v>
      </c>
      <c r="H20" s="627">
        <v>1.4</v>
      </c>
    </row>
    <row r="21" spans="1:8" ht="59.25" customHeight="1">
      <c r="A21" s="605"/>
      <c r="B21" s="606"/>
      <c r="C21" s="628" t="s">
        <v>483</v>
      </c>
      <c r="D21" s="629"/>
      <c r="E21" s="628">
        <f>SUM(E22:E23)</f>
        <v>4</v>
      </c>
      <c r="F21" s="630"/>
      <c r="G21" s="630"/>
      <c r="H21" s="631"/>
    </row>
    <row r="22" spans="1:8" ht="25.5" customHeight="1">
      <c r="A22" s="605"/>
      <c r="B22" s="606"/>
      <c r="C22" s="632" t="s">
        <v>178</v>
      </c>
      <c r="D22" s="633">
        <v>2.2999999999999998</v>
      </c>
      <c r="E22" s="634">
        <v>1</v>
      </c>
      <c r="F22" s="610">
        <f>1.8*1600</f>
        <v>2880</v>
      </c>
      <c r="G22" s="635">
        <f>E22*F22</f>
        <v>2880</v>
      </c>
      <c r="H22" s="627">
        <v>1.8</v>
      </c>
    </row>
    <row r="23" spans="1:8" ht="25.5" customHeight="1">
      <c r="A23" s="605"/>
      <c r="B23" s="606"/>
      <c r="C23" s="636" t="s">
        <v>454</v>
      </c>
      <c r="D23" s="633">
        <v>3.5</v>
      </c>
      <c r="E23" s="634">
        <f>2+1</f>
        <v>3</v>
      </c>
      <c r="F23" s="610">
        <f>1.4*1600</f>
        <v>2240</v>
      </c>
      <c r="G23" s="635">
        <f>E23*F23</f>
        <v>6720</v>
      </c>
      <c r="H23" s="627">
        <v>1.4</v>
      </c>
    </row>
    <row r="24" spans="1:8" ht="30.75" customHeight="1">
      <c r="A24" s="605"/>
      <c r="B24" s="606"/>
      <c r="C24" s="628" t="s">
        <v>484</v>
      </c>
      <c r="D24" s="629"/>
      <c r="E24" s="628">
        <f>SUM(E25:E27)</f>
        <v>4</v>
      </c>
      <c r="F24" s="630"/>
      <c r="G24" s="630"/>
      <c r="H24" s="631"/>
    </row>
    <row r="25" spans="1:8" ht="23.25" customHeight="1">
      <c r="A25" s="605"/>
      <c r="B25" s="606"/>
      <c r="C25" s="632" t="s">
        <v>178</v>
      </c>
      <c r="D25" s="633">
        <v>2.2999999999999998</v>
      </c>
      <c r="E25" s="634">
        <v>1</v>
      </c>
      <c r="F25" s="610">
        <f>1.8*1600</f>
        <v>2880</v>
      </c>
      <c r="G25" s="635">
        <f>E25*F25</f>
        <v>2880</v>
      </c>
      <c r="H25" s="627">
        <v>1.8</v>
      </c>
    </row>
    <row r="26" spans="1:8" ht="23.25" customHeight="1">
      <c r="A26" s="605"/>
      <c r="B26" s="606"/>
      <c r="C26" s="636" t="s">
        <v>455</v>
      </c>
      <c r="D26" s="633">
        <v>3.5</v>
      </c>
      <c r="E26" s="634">
        <v>1</v>
      </c>
      <c r="F26" s="610">
        <f>1.4*1600</f>
        <v>2240</v>
      </c>
      <c r="G26" s="635">
        <f>E26*F26</f>
        <v>2240</v>
      </c>
      <c r="H26" s="627">
        <v>1.4</v>
      </c>
    </row>
    <row r="27" spans="1:8" ht="39" customHeight="1" thickBot="1">
      <c r="A27" s="612"/>
      <c r="B27" s="613"/>
      <c r="C27" s="638" t="s">
        <v>504</v>
      </c>
      <c r="D27" s="639">
        <v>3.5</v>
      </c>
      <c r="E27" s="609">
        <v>2</v>
      </c>
      <c r="F27" s="610">
        <f>1.4*1600</f>
        <v>2240</v>
      </c>
      <c r="G27" s="611">
        <f>E27*F27</f>
        <v>4480</v>
      </c>
      <c r="H27" s="627">
        <v>1.4</v>
      </c>
    </row>
    <row r="28" spans="1:8" ht="55.5" customHeight="1" thickBot="1">
      <c r="A28" s="619">
        <v>2</v>
      </c>
      <c r="B28" s="620"/>
      <c r="C28" s="593" t="s">
        <v>479</v>
      </c>
      <c r="D28" s="621"/>
      <c r="E28" s="622">
        <f>E29+E31+E32+E34+E35</f>
        <v>9</v>
      </c>
      <c r="F28" s="623"/>
      <c r="G28" s="623">
        <f>G29+G31+G32+G34+G35</f>
        <v>22880</v>
      </c>
      <c r="H28" s="624"/>
    </row>
    <row r="29" spans="1:8" ht="38.25" customHeight="1">
      <c r="A29" s="640"/>
      <c r="B29" s="641"/>
      <c r="C29" s="625" t="s">
        <v>365</v>
      </c>
      <c r="D29" s="642">
        <v>1.1000000000000001</v>
      </c>
      <c r="E29" s="601">
        <v>1</v>
      </c>
      <c r="F29" s="602">
        <f>2.3*1600</f>
        <v>3679.9999999999995</v>
      </c>
      <c r="G29" s="603">
        <f>E29*F29</f>
        <v>3679.9999999999995</v>
      </c>
      <c r="H29" s="627">
        <v>2.2999999999999998</v>
      </c>
    </row>
    <row r="30" spans="1:8" ht="38.25" customHeight="1">
      <c r="A30" s="643"/>
      <c r="B30" s="644"/>
      <c r="C30" s="628" t="s">
        <v>485</v>
      </c>
      <c r="D30" s="629"/>
      <c r="E30" s="628">
        <f>SUM(E31:E32)</f>
        <v>2</v>
      </c>
      <c r="F30" s="630"/>
      <c r="G30" s="630"/>
      <c r="H30" s="631"/>
    </row>
    <row r="31" spans="1:8" ht="27" customHeight="1">
      <c r="A31" s="643"/>
      <c r="B31" s="644"/>
      <c r="C31" s="632" t="s">
        <v>178</v>
      </c>
      <c r="D31" s="633">
        <v>2.2999999999999998</v>
      </c>
      <c r="E31" s="634">
        <v>1</v>
      </c>
      <c r="F31" s="610">
        <f>1.8*1600</f>
        <v>2880</v>
      </c>
      <c r="G31" s="635">
        <f>E31*F31</f>
        <v>2880</v>
      </c>
      <c r="H31" s="627">
        <v>1.8</v>
      </c>
    </row>
    <row r="32" spans="1:8" ht="24" customHeight="1">
      <c r="A32" s="605"/>
      <c r="B32" s="606"/>
      <c r="C32" s="636" t="s">
        <v>456</v>
      </c>
      <c r="D32" s="633">
        <v>3.5</v>
      </c>
      <c r="E32" s="634">
        <v>1</v>
      </c>
      <c r="F32" s="610">
        <f>1.4*1600</f>
        <v>2240</v>
      </c>
      <c r="G32" s="635">
        <f>E32*F32</f>
        <v>2240</v>
      </c>
      <c r="H32" s="627">
        <v>1.4</v>
      </c>
    </row>
    <row r="33" spans="1:8" ht="40.5" customHeight="1">
      <c r="A33" s="643"/>
      <c r="B33" s="644"/>
      <c r="C33" s="628" t="s">
        <v>486</v>
      </c>
      <c r="D33" s="629"/>
      <c r="E33" s="628">
        <f>SUM(E34:E35)</f>
        <v>6</v>
      </c>
      <c r="F33" s="630"/>
      <c r="G33" s="630"/>
      <c r="H33" s="631"/>
    </row>
    <row r="34" spans="1:8" ht="33" customHeight="1">
      <c r="A34" s="643"/>
      <c r="B34" s="644"/>
      <c r="C34" s="645" t="s">
        <v>178</v>
      </c>
      <c r="D34" s="646">
        <v>2.2999999999999998</v>
      </c>
      <c r="E34" s="634">
        <v>1</v>
      </c>
      <c r="F34" s="610">
        <f>1.8*1600</f>
        <v>2880</v>
      </c>
      <c r="G34" s="635">
        <f>E34*F34</f>
        <v>2880</v>
      </c>
      <c r="H34" s="627">
        <v>1.8</v>
      </c>
    </row>
    <row r="35" spans="1:8" ht="36.75" customHeight="1" thickBot="1">
      <c r="A35" s="605"/>
      <c r="B35" s="606"/>
      <c r="C35" s="647" t="s">
        <v>472</v>
      </c>
      <c r="D35" s="648">
        <v>3.5</v>
      </c>
      <c r="E35" s="572">
        <v>5</v>
      </c>
      <c r="F35" s="573">
        <f>1.4*1600</f>
        <v>2240</v>
      </c>
      <c r="G35" s="574">
        <f>E35*F35</f>
        <v>11200</v>
      </c>
      <c r="H35" s="649">
        <v>1.4</v>
      </c>
    </row>
    <row r="36" spans="1:8" ht="65.25" customHeight="1" thickBot="1">
      <c r="A36" s="619">
        <v>3</v>
      </c>
      <c r="B36" s="620"/>
      <c r="C36" s="650" t="s">
        <v>478</v>
      </c>
      <c r="D36" s="593"/>
      <c r="E36" s="622">
        <f>E37+E38+E39+E40+E41+E46</f>
        <v>16</v>
      </c>
      <c r="F36" s="623"/>
      <c r="G36" s="623">
        <f>SUM(G37:G49)</f>
        <v>39200</v>
      </c>
      <c r="H36" s="624"/>
    </row>
    <row r="37" spans="1:8" ht="53.25" customHeight="1" thickBot="1">
      <c r="A37" s="643"/>
      <c r="B37" s="644"/>
      <c r="C37" s="651" t="s">
        <v>474</v>
      </c>
      <c r="D37" s="642">
        <v>1.1000000000000001</v>
      </c>
      <c r="E37" s="634">
        <v>1</v>
      </c>
      <c r="F37" s="610">
        <f>2.3*1600</f>
        <v>3679.9999999999995</v>
      </c>
      <c r="G37" s="635">
        <f>E37*F37</f>
        <v>3679.9999999999995</v>
      </c>
      <c r="H37" s="627">
        <v>2.2999999999999998</v>
      </c>
    </row>
    <row r="38" spans="1:8" ht="43.5" customHeight="1">
      <c r="A38" s="643"/>
      <c r="B38" s="644"/>
      <c r="C38" s="645" t="s">
        <v>496</v>
      </c>
      <c r="D38" s="642">
        <v>2.2000000000000002</v>
      </c>
      <c r="E38" s="634">
        <v>1</v>
      </c>
      <c r="F38" s="610">
        <f>2*1600</f>
        <v>3200</v>
      </c>
      <c r="G38" s="635">
        <f>E38*F38</f>
        <v>3200</v>
      </c>
      <c r="H38" s="652">
        <v>2</v>
      </c>
    </row>
    <row r="39" spans="1:8" ht="30">
      <c r="A39" s="605"/>
      <c r="B39" s="606"/>
      <c r="C39" s="653" t="s">
        <v>471</v>
      </c>
      <c r="D39" s="633">
        <v>3.5</v>
      </c>
      <c r="E39" s="634">
        <v>2</v>
      </c>
      <c r="F39" s="610">
        <f>1.4*1600</f>
        <v>2240</v>
      </c>
      <c r="G39" s="635">
        <f>E39*F39</f>
        <v>4480</v>
      </c>
      <c r="H39" s="627">
        <v>1.4</v>
      </c>
    </row>
    <row r="40" spans="1:8" ht="30">
      <c r="A40" s="605"/>
      <c r="B40" s="606"/>
      <c r="C40" s="653" t="s">
        <v>470</v>
      </c>
      <c r="D40" s="633">
        <v>3.5</v>
      </c>
      <c r="E40" s="634">
        <v>1</v>
      </c>
      <c r="F40" s="610">
        <f>1.4*1600</f>
        <v>2240</v>
      </c>
      <c r="G40" s="635">
        <f>E40*F40</f>
        <v>2240</v>
      </c>
      <c r="H40" s="627">
        <v>1.4</v>
      </c>
    </row>
    <row r="41" spans="1:8" ht="51.75" customHeight="1">
      <c r="A41" s="643"/>
      <c r="B41" s="644"/>
      <c r="C41" s="654" t="s">
        <v>489</v>
      </c>
      <c r="D41" s="654"/>
      <c r="E41" s="628">
        <f>SUM(E42:E45)</f>
        <v>5</v>
      </c>
      <c r="F41" s="630"/>
      <c r="G41" s="630"/>
      <c r="H41" s="631"/>
    </row>
    <row r="42" spans="1:8" ht="37.5" customHeight="1">
      <c r="A42" s="643"/>
      <c r="B42" s="644"/>
      <c r="C42" s="645" t="s">
        <v>178</v>
      </c>
      <c r="D42" s="646">
        <v>2.2999999999999998</v>
      </c>
      <c r="E42" s="634">
        <v>1</v>
      </c>
      <c r="F42" s="610">
        <f>1.8*1600</f>
        <v>2880</v>
      </c>
      <c r="G42" s="635">
        <f>E42*F42</f>
        <v>2880</v>
      </c>
      <c r="H42" s="627">
        <v>1.8</v>
      </c>
    </row>
    <row r="43" spans="1:8" ht="30">
      <c r="A43" s="605"/>
      <c r="B43" s="606"/>
      <c r="C43" s="653" t="s">
        <v>469</v>
      </c>
      <c r="D43" s="633">
        <v>3.5</v>
      </c>
      <c r="E43" s="634">
        <v>1</v>
      </c>
      <c r="F43" s="610">
        <f>1.4*1600</f>
        <v>2240</v>
      </c>
      <c r="G43" s="635">
        <f>E43*F43</f>
        <v>2240</v>
      </c>
      <c r="H43" s="627">
        <v>1.4</v>
      </c>
    </row>
    <row r="44" spans="1:8" ht="30">
      <c r="A44" s="605"/>
      <c r="B44" s="606"/>
      <c r="C44" s="653" t="s">
        <v>468</v>
      </c>
      <c r="D44" s="633">
        <v>3.5</v>
      </c>
      <c r="E44" s="634">
        <v>2</v>
      </c>
      <c r="F44" s="610">
        <f>1.4*1600</f>
        <v>2240</v>
      </c>
      <c r="G44" s="635">
        <f>E44*F44</f>
        <v>4480</v>
      </c>
      <c r="H44" s="627">
        <v>1.4</v>
      </c>
    </row>
    <row r="45" spans="1:8" ht="30">
      <c r="A45" s="605"/>
      <c r="B45" s="606"/>
      <c r="C45" s="653" t="s">
        <v>467</v>
      </c>
      <c r="D45" s="633">
        <v>3.5</v>
      </c>
      <c r="E45" s="634">
        <f>2-1</f>
        <v>1</v>
      </c>
      <c r="F45" s="610">
        <f>1.4*1600</f>
        <v>2240</v>
      </c>
      <c r="G45" s="635">
        <f>E45*F45</f>
        <v>2240</v>
      </c>
      <c r="H45" s="627">
        <v>1.4</v>
      </c>
    </row>
    <row r="46" spans="1:8" ht="51" customHeight="1">
      <c r="A46" s="643"/>
      <c r="B46" s="644"/>
      <c r="C46" s="654" t="s">
        <v>487</v>
      </c>
      <c r="D46" s="654"/>
      <c r="E46" s="628">
        <f>SUM(E47:E49)</f>
        <v>6</v>
      </c>
      <c r="F46" s="630"/>
      <c r="G46" s="630"/>
      <c r="H46" s="631"/>
    </row>
    <row r="47" spans="1:8" ht="15.75">
      <c r="A47" s="643"/>
      <c r="B47" s="644"/>
      <c r="C47" s="645" t="s">
        <v>178</v>
      </c>
      <c r="D47" s="646">
        <v>2.2999999999999998</v>
      </c>
      <c r="E47" s="634">
        <v>1</v>
      </c>
      <c r="F47" s="610">
        <f>1.8*1600</f>
        <v>2880</v>
      </c>
      <c r="G47" s="635">
        <f>E47*F47</f>
        <v>2880</v>
      </c>
      <c r="H47" s="627">
        <v>1.8</v>
      </c>
    </row>
    <row r="48" spans="1:8" ht="30">
      <c r="A48" s="605"/>
      <c r="B48" s="606"/>
      <c r="C48" s="653" t="s">
        <v>466</v>
      </c>
      <c r="D48" s="633">
        <v>3.5</v>
      </c>
      <c r="E48" s="634">
        <f>2+1</f>
        <v>3</v>
      </c>
      <c r="F48" s="610">
        <f>1.4*1600</f>
        <v>2240</v>
      </c>
      <c r="G48" s="635">
        <f>E48*F48</f>
        <v>6720</v>
      </c>
      <c r="H48" s="627">
        <v>1.4</v>
      </c>
    </row>
    <row r="49" spans="1:8" ht="30.75" thickBot="1">
      <c r="A49" s="655"/>
      <c r="B49" s="656"/>
      <c r="C49" s="657" t="s">
        <v>465</v>
      </c>
      <c r="D49" s="633">
        <v>3.6</v>
      </c>
      <c r="E49" s="634">
        <v>2</v>
      </c>
      <c r="F49" s="610">
        <f>1.3*1600</f>
        <v>2080</v>
      </c>
      <c r="G49" s="635">
        <f>E49*F49</f>
        <v>4160</v>
      </c>
      <c r="H49" s="627">
        <v>1.3</v>
      </c>
    </row>
    <row r="50" spans="1:8" ht="52.5" customHeight="1" thickBot="1">
      <c r="A50" s="619">
        <v>4</v>
      </c>
      <c r="B50" s="620"/>
      <c r="C50" s="650" t="s">
        <v>477</v>
      </c>
      <c r="D50" s="593"/>
      <c r="E50" s="622">
        <f>E51+E52+E53+E54+E55</f>
        <v>5</v>
      </c>
      <c r="F50" s="623"/>
      <c r="G50" s="623">
        <f>G51+G52+G53+G54+G55</f>
        <v>12320</v>
      </c>
      <c r="H50" s="624"/>
    </row>
    <row r="51" spans="1:8" ht="39.75" customHeight="1">
      <c r="A51" s="605"/>
      <c r="B51" s="606"/>
      <c r="C51" s="658" t="s">
        <v>365</v>
      </c>
      <c r="D51" s="642">
        <v>1.1000000000000001</v>
      </c>
      <c r="E51" s="634">
        <v>1</v>
      </c>
      <c r="F51" s="610">
        <f>2.3*1600</f>
        <v>3679.9999999999995</v>
      </c>
      <c r="G51" s="635">
        <f>E51*F51</f>
        <v>3679.9999999999995</v>
      </c>
      <c r="H51" s="627">
        <v>2.2999999999999998</v>
      </c>
    </row>
    <row r="52" spans="1:8" ht="51" customHeight="1">
      <c r="A52" s="605"/>
      <c r="B52" s="606"/>
      <c r="C52" s="653" t="s">
        <v>505</v>
      </c>
      <c r="D52" s="633">
        <v>3.5</v>
      </c>
      <c r="E52" s="634">
        <v>1</v>
      </c>
      <c r="F52" s="610">
        <f>1.4*1600</f>
        <v>2240</v>
      </c>
      <c r="G52" s="635">
        <f>E52*F52</f>
        <v>2240</v>
      </c>
      <c r="H52" s="627">
        <v>1.4</v>
      </c>
    </row>
    <row r="53" spans="1:8" ht="30">
      <c r="A53" s="655"/>
      <c r="B53" s="656"/>
      <c r="C53" s="657" t="s">
        <v>501</v>
      </c>
      <c r="D53" s="633">
        <v>3.5</v>
      </c>
      <c r="E53" s="634">
        <v>1</v>
      </c>
      <c r="F53" s="610">
        <f>1.4*1600</f>
        <v>2240</v>
      </c>
      <c r="G53" s="635">
        <f>E53*F53</f>
        <v>2240</v>
      </c>
      <c r="H53" s="627">
        <v>1.4</v>
      </c>
    </row>
    <row r="54" spans="1:8" ht="48.75" customHeight="1">
      <c r="A54" s="605"/>
      <c r="B54" s="606"/>
      <c r="C54" s="653" t="s">
        <v>464</v>
      </c>
      <c r="D54" s="633">
        <v>3.6</v>
      </c>
      <c r="E54" s="634">
        <f>2-1</f>
        <v>1</v>
      </c>
      <c r="F54" s="610">
        <f>1.3*1600</f>
        <v>2080</v>
      </c>
      <c r="G54" s="635">
        <f>E54*F54</f>
        <v>2080</v>
      </c>
      <c r="H54" s="627">
        <v>1.3</v>
      </c>
    </row>
    <row r="55" spans="1:8" ht="38.25" customHeight="1" thickBot="1">
      <c r="A55" s="605"/>
      <c r="B55" s="606"/>
      <c r="C55" s="657" t="s">
        <v>463</v>
      </c>
      <c r="D55" s="633">
        <v>3.6</v>
      </c>
      <c r="E55" s="634">
        <v>1</v>
      </c>
      <c r="F55" s="610">
        <f>1.3*1600</f>
        <v>2080</v>
      </c>
      <c r="G55" s="635">
        <f>E55*F55</f>
        <v>2080</v>
      </c>
      <c r="H55" s="627">
        <v>1.3</v>
      </c>
    </row>
    <row r="56" spans="1:8" ht="64.5" customHeight="1" thickBot="1">
      <c r="A56" s="619">
        <v>5</v>
      </c>
      <c r="B56" s="620"/>
      <c r="C56" s="650" t="s">
        <v>506</v>
      </c>
      <c r="D56" s="593"/>
      <c r="E56" s="622">
        <f>SUM(E57:E62)</f>
        <v>12</v>
      </c>
      <c r="F56" s="623"/>
      <c r="G56" s="623">
        <f>SUM(G57:G64)</f>
        <v>28960</v>
      </c>
      <c r="H56" s="624"/>
    </row>
    <row r="57" spans="1:8" ht="37.5" customHeight="1">
      <c r="A57" s="597"/>
      <c r="B57" s="598"/>
      <c r="C57" s="645" t="s">
        <v>365</v>
      </c>
      <c r="D57" s="642">
        <v>1.1000000000000001</v>
      </c>
      <c r="E57" s="634">
        <v>1</v>
      </c>
      <c r="F57" s="610">
        <f>2.3*1600</f>
        <v>3679.9999999999995</v>
      </c>
      <c r="G57" s="635">
        <f t="shared" ref="G57:G61" si="1">E57*F57</f>
        <v>3679.9999999999995</v>
      </c>
      <c r="H57" s="627">
        <v>2.2999999999999998</v>
      </c>
    </row>
    <row r="58" spans="1:8" ht="37.5" customHeight="1">
      <c r="A58" s="605"/>
      <c r="B58" s="606"/>
      <c r="C58" s="659" t="s">
        <v>490</v>
      </c>
      <c r="D58" s="633">
        <v>3.5</v>
      </c>
      <c r="E58" s="634">
        <v>2</v>
      </c>
      <c r="F58" s="610">
        <f>1.4*1600</f>
        <v>2240</v>
      </c>
      <c r="G58" s="635">
        <f t="shared" si="1"/>
        <v>4480</v>
      </c>
      <c r="H58" s="627">
        <v>1.4</v>
      </c>
    </row>
    <row r="59" spans="1:8" ht="37.5" customHeight="1">
      <c r="A59" s="605"/>
      <c r="B59" s="606"/>
      <c r="C59" s="659" t="s">
        <v>491</v>
      </c>
      <c r="D59" s="633">
        <v>3.5</v>
      </c>
      <c r="E59" s="634">
        <v>2</v>
      </c>
      <c r="F59" s="610">
        <f>1.4*1600</f>
        <v>2240</v>
      </c>
      <c r="G59" s="635">
        <f t="shared" si="1"/>
        <v>4480</v>
      </c>
      <c r="H59" s="627">
        <v>1.4</v>
      </c>
    </row>
    <row r="60" spans="1:8" ht="37.5" customHeight="1">
      <c r="A60" s="605"/>
      <c r="B60" s="606"/>
      <c r="C60" s="659" t="s">
        <v>492</v>
      </c>
      <c r="D60" s="633">
        <v>3.5</v>
      </c>
      <c r="E60" s="634">
        <v>2</v>
      </c>
      <c r="F60" s="610">
        <f>1.4*1600</f>
        <v>2240</v>
      </c>
      <c r="G60" s="635">
        <f t="shared" si="1"/>
        <v>4480</v>
      </c>
      <c r="H60" s="627">
        <v>1.4</v>
      </c>
    </row>
    <row r="61" spans="1:8" ht="37.5" customHeight="1">
      <c r="A61" s="605"/>
      <c r="B61" s="606"/>
      <c r="C61" s="659" t="s">
        <v>493</v>
      </c>
      <c r="D61" s="633">
        <v>3.5</v>
      </c>
      <c r="E61" s="634">
        <v>2</v>
      </c>
      <c r="F61" s="610">
        <f>1.4*1600</f>
        <v>2240</v>
      </c>
      <c r="G61" s="635">
        <f t="shared" si="1"/>
        <v>4480</v>
      </c>
      <c r="H61" s="627">
        <v>1.4</v>
      </c>
    </row>
    <row r="62" spans="1:8" ht="52.5" customHeight="1">
      <c r="A62" s="605"/>
      <c r="B62" s="606"/>
      <c r="C62" s="660" t="s">
        <v>494</v>
      </c>
      <c r="D62" s="654"/>
      <c r="E62" s="661">
        <f>SUM(E63:E64)</f>
        <v>3</v>
      </c>
      <c r="F62" s="630"/>
      <c r="G62" s="630"/>
      <c r="H62" s="631"/>
    </row>
    <row r="63" spans="1:8" ht="33" customHeight="1">
      <c r="A63" s="605"/>
      <c r="B63" s="606"/>
      <c r="C63" s="660" t="s">
        <v>178</v>
      </c>
      <c r="D63" s="646">
        <v>2.2999999999999998</v>
      </c>
      <c r="E63" s="634">
        <v>1</v>
      </c>
      <c r="F63" s="610">
        <f>1.8*1600</f>
        <v>2880</v>
      </c>
      <c r="G63" s="635">
        <f>E63*F63</f>
        <v>2880</v>
      </c>
      <c r="H63" s="627">
        <v>1.8</v>
      </c>
    </row>
    <row r="64" spans="1:8" ht="33" customHeight="1" thickBot="1">
      <c r="A64" s="612"/>
      <c r="B64" s="613"/>
      <c r="C64" s="662" t="s">
        <v>498</v>
      </c>
      <c r="D64" s="633">
        <v>3.5</v>
      </c>
      <c r="E64" s="634">
        <v>2</v>
      </c>
      <c r="F64" s="610">
        <f>1.4*1600</f>
        <v>2240</v>
      </c>
      <c r="G64" s="635">
        <f>E64*F64</f>
        <v>4480</v>
      </c>
      <c r="H64" s="627">
        <v>1.4</v>
      </c>
    </row>
    <row r="65" spans="1:8" ht="57" customHeight="1" thickBot="1">
      <c r="A65" s="619">
        <v>6</v>
      </c>
      <c r="B65" s="620"/>
      <c r="C65" s="650" t="s">
        <v>475</v>
      </c>
      <c r="D65" s="593"/>
      <c r="E65" s="622">
        <f>SUM(E66:E72)</f>
        <v>14</v>
      </c>
      <c r="F65" s="623"/>
      <c r="G65" s="623">
        <f>SUM(G66:G75)</f>
        <v>34080</v>
      </c>
      <c r="H65" s="624"/>
    </row>
    <row r="66" spans="1:8" ht="44.25" customHeight="1" thickBot="1">
      <c r="A66" s="605"/>
      <c r="B66" s="606"/>
      <c r="C66" s="658" t="s">
        <v>365</v>
      </c>
      <c r="D66" s="626">
        <v>1.1000000000000001</v>
      </c>
      <c r="E66" s="663">
        <v>1</v>
      </c>
      <c r="F66" s="664">
        <f>2.3*1600</f>
        <v>3679.9999999999995</v>
      </c>
      <c r="G66" s="665">
        <f t="shared" ref="G66:G71" si="2">E66*F66</f>
        <v>3679.9999999999995</v>
      </c>
      <c r="H66" s="604">
        <v>2.2999999999999998</v>
      </c>
    </row>
    <row r="67" spans="1:8" ht="36" customHeight="1">
      <c r="A67" s="605"/>
      <c r="B67" s="606"/>
      <c r="C67" s="645" t="s">
        <v>496</v>
      </c>
      <c r="D67" s="626">
        <v>2.2000000000000002</v>
      </c>
      <c r="E67" s="663">
        <v>1</v>
      </c>
      <c r="F67" s="664">
        <f>2*1600</f>
        <v>3200</v>
      </c>
      <c r="G67" s="665">
        <f t="shared" si="2"/>
        <v>3200</v>
      </c>
      <c r="H67" s="666">
        <v>2</v>
      </c>
    </row>
    <row r="68" spans="1:8" ht="36" customHeight="1">
      <c r="A68" s="605"/>
      <c r="B68" s="606"/>
      <c r="C68" s="647" t="s">
        <v>462</v>
      </c>
      <c r="D68" s="633">
        <v>3.5</v>
      </c>
      <c r="E68" s="634">
        <v>2</v>
      </c>
      <c r="F68" s="610">
        <f>1.4*1600</f>
        <v>2240</v>
      </c>
      <c r="G68" s="635">
        <f t="shared" si="2"/>
        <v>4480</v>
      </c>
      <c r="H68" s="627">
        <v>1.4</v>
      </c>
    </row>
    <row r="69" spans="1:8" ht="21.75" customHeight="1">
      <c r="A69" s="605"/>
      <c r="B69" s="606"/>
      <c r="C69" s="657" t="s">
        <v>461</v>
      </c>
      <c r="D69" s="633">
        <v>3.5</v>
      </c>
      <c r="E69" s="634">
        <v>1</v>
      </c>
      <c r="F69" s="610">
        <f>1.4*1600</f>
        <v>2240</v>
      </c>
      <c r="G69" s="635">
        <f t="shared" si="2"/>
        <v>2240</v>
      </c>
      <c r="H69" s="627">
        <v>1.4</v>
      </c>
    </row>
    <row r="70" spans="1:8" ht="30">
      <c r="A70" s="605"/>
      <c r="B70" s="606"/>
      <c r="C70" s="647" t="s">
        <v>460</v>
      </c>
      <c r="D70" s="633">
        <v>3.5</v>
      </c>
      <c r="E70" s="634">
        <v>3</v>
      </c>
      <c r="F70" s="610">
        <f>1.4*1600</f>
        <v>2240</v>
      </c>
      <c r="G70" s="635">
        <f t="shared" si="2"/>
        <v>6720</v>
      </c>
      <c r="H70" s="627">
        <v>1.4</v>
      </c>
    </row>
    <row r="71" spans="1:8" ht="36.75" customHeight="1">
      <c r="A71" s="655"/>
      <c r="B71" s="656"/>
      <c r="C71" s="657" t="s">
        <v>499</v>
      </c>
      <c r="D71" s="633">
        <v>3.6</v>
      </c>
      <c r="E71" s="634">
        <v>1</v>
      </c>
      <c r="F71" s="610">
        <f>1.3*1600</f>
        <v>2080</v>
      </c>
      <c r="G71" s="635">
        <f t="shared" si="2"/>
        <v>2080</v>
      </c>
      <c r="H71" s="627">
        <v>1.3</v>
      </c>
    </row>
    <row r="72" spans="1:8" ht="53.25" customHeight="1">
      <c r="A72" s="605"/>
      <c r="B72" s="606"/>
      <c r="C72" s="645" t="s">
        <v>503</v>
      </c>
      <c r="D72" s="658"/>
      <c r="E72" s="661">
        <f>SUM(E73:E75)</f>
        <v>5</v>
      </c>
      <c r="F72" s="630"/>
      <c r="G72" s="630"/>
      <c r="H72" s="631"/>
    </row>
    <row r="73" spans="1:8" ht="70.5" customHeight="1">
      <c r="A73" s="605"/>
      <c r="B73" s="606"/>
      <c r="C73" s="654" t="s">
        <v>502</v>
      </c>
      <c r="D73" s="646">
        <v>2.2999999999999998</v>
      </c>
      <c r="E73" s="634">
        <v>1</v>
      </c>
      <c r="F73" s="610">
        <f>1.8*1600</f>
        <v>2880</v>
      </c>
      <c r="G73" s="635">
        <f>E73*F73</f>
        <v>2880</v>
      </c>
      <c r="H73" s="627">
        <v>1.8</v>
      </c>
    </row>
    <row r="74" spans="1:8" ht="48.75" customHeight="1">
      <c r="A74" s="605"/>
      <c r="B74" s="606"/>
      <c r="C74" s="647" t="s">
        <v>497</v>
      </c>
      <c r="D74" s="633">
        <v>3.5</v>
      </c>
      <c r="E74" s="634">
        <v>3</v>
      </c>
      <c r="F74" s="610">
        <f>1.4*1600</f>
        <v>2240</v>
      </c>
      <c r="G74" s="635">
        <f>E74*F74</f>
        <v>6720</v>
      </c>
      <c r="H74" s="627">
        <v>1.4</v>
      </c>
    </row>
    <row r="75" spans="1:8" ht="16.5" thickBot="1">
      <c r="A75" s="655"/>
      <c r="B75" s="656"/>
      <c r="C75" s="657" t="s">
        <v>500</v>
      </c>
      <c r="D75" s="633">
        <v>3.6</v>
      </c>
      <c r="E75" s="634">
        <v>1</v>
      </c>
      <c r="F75" s="610">
        <f>1.3*1600</f>
        <v>2080</v>
      </c>
      <c r="G75" s="635">
        <f>E75*F75</f>
        <v>2080</v>
      </c>
      <c r="H75" s="627">
        <v>1.3</v>
      </c>
    </row>
    <row r="76" spans="1:8" ht="45.75" thickBot="1">
      <c r="A76" s="619">
        <v>7</v>
      </c>
      <c r="B76" s="620"/>
      <c r="C76" s="650" t="s">
        <v>476</v>
      </c>
      <c r="D76" s="593"/>
      <c r="E76" s="622">
        <f>SUM(E77:E79)</f>
        <v>5</v>
      </c>
      <c r="F76" s="623"/>
      <c r="G76" s="623">
        <f>SUM(G77:G82)</f>
        <v>13280</v>
      </c>
      <c r="H76" s="624"/>
    </row>
    <row r="77" spans="1:8" ht="40.5" customHeight="1">
      <c r="A77" s="605"/>
      <c r="B77" s="606"/>
      <c r="C77" s="658" t="s">
        <v>365</v>
      </c>
      <c r="D77" s="633">
        <v>1.1000000000000001</v>
      </c>
      <c r="E77" s="634">
        <v>1</v>
      </c>
      <c r="F77" s="610">
        <f>2.3*1600</f>
        <v>3679.9999999999995</v>
      </c>
      <c r="G77" s="635">
        <f>E77*F77</f>
        <v>3679.9999999999995</v>
      </c>
      <c r="H77" s="627">
        <v>2.2999999999999998</v>
      </c>
    </row>
    <row r="78" spans="1:8" ht="97.5" customHeight="1">
      <c r="A78" s="605"/>
      <c r="B78" s="606"/>
      <c r="C78" s="653" t="s">
        <v>459</v>
      </c>
      <c r="D78" s="633">
        <v>3.5</v>
      </c>
      <c r="E78" s="634">
        <v>1</v>
      </c>
      <c r="F78" s="610">
        <f>1.4*1600</f>
        <v>2240</v>
      </c>
      <c r="G78" s="635">
        <f>E78*F78</f>
        <v>2240</v>
      </c>
      <c r="H78" s="627">
        <v>1.4</v>
      </c>
    </row>
    <row r="79" spans="1:8" ht="60">
      <c r="A79" s="605"/>
      <c r="B79" s="606"/>
      <c r="C79" s="667" t="s">
        <v>488</v>
      </c>
      <c r="D79" s="667"/>
      <c r="E79" s="661">
        <f>SUM(E80:E82)</f>
        <v>3</v>
      </c>
      <c r="F79" s="630"/>
      <c r="G79" s="630"/>
      <c r="H79" s="631"/>
    </row>
    <row r="80" spans="1:8" ht="42.75" customHeight="1">
      <c r="A80" s="605"/>
      <c r="B80" s="606"/>
      <c r="C80" s="645" t="s">
        <v>178</v>
      </c>
      <c r="D80" s="646">
        <v>2.2999999999999998</v>
      </c>
      <c r="E80" s="634">
        <v>1</v>
      </c>
      <c r="F80" s="610">
        <f>1.8*1600</f>
        <v>2880</v>
      </c>
      <c r="G80" s="635">
        <f>E80*F80</f>
        <v>2880</v>
      </c>
      <c r="H80" s="627">
        <v>1.8</v>
      </c>
    </row>
    <row r="81" spans="1:8" ht="78" customHeight="1">
      <c r="A81" s="605"/>
      <c r="B81" s="606"/>
      <c r="C81" s="653" t="s">
        <v>458</v>
      </c>
      <c r="D81" s="633">
        <v>3.5</v>
      </c>
      <c r="E81" s="634">
        <v>1</v>
      </c>
      <c r="F81" s="610">
        <f>1.4*1600</f>
        <v>2240</v>
      </c>
      <c r="G81" s="635">
        <f>E81*F81</f>
        <v>2240</v>
      </c>
      <c r="H81" s="627">
        <v>1.4</v>
      </c>
    </row>
    <row r="82" spans="1:8" ht="83.25" customHeight="1" thickBot="1">
      <c r="A82" s="605"/>
      <c r="B82" s="606"/>
      <c r="C82" s="653" t="s">
        <v>457</v>
      </c>
      <c r="D82" s="633">
        <v>3.5</v>
      </c>
      <c r="E82" s="634">
        <v>1</v>
      </c>
      <c r="F82" s="610">
        <f>1.4*1600</f>
        <v>2240</v>
      </c>
      <c r="G82" s="635">
        <f>E82*F82</f>
        <v>2240</v>
      </c>
      <c r="H82" s="627">
        <v>1.4</v>
      </c>
    </row>
    <row r="83" spans="1:8" ht="40.5" customHeight="1" thickBot="1">
      <c r="A83" s="643"/>
      <c r="B83" s="644"/>
      <c r="C83" s="668" t="s">
        <v>75</v>
      </c>
      <c r="D83" s="593"/>
      <c r="E83" s="622">
        <f>SUM(E85:E152)</f>
        <v>68</v>
      </c>
      <c r="F83" s="623"/>
      <c r="G83" s="623">
        <f t="shared" ref="G83" si="3">SUM(G85:G152)</f>
        <v>112720</v>
      </c>
      <c r="H83" s="624"/>
    </row>
    <row r="84" spans="1:8" ht="24.75" customHeight="1" thickBot="1">
      <c r="A84" s="669" t="s">
        <v>76</v>
      </c>
      <c r="B84" s="670"/>
      <c r="C84" s="670"/>
      <c r="D84" s="670"/>
      <c r="E84" s="670"/>
      <c r="F84" s="670"/>
      <c r="G84" s="670"/>
      <c r="H84" s="671"/>
    </row>
    <row r="85" spans="1:8" ht="51" customHeight="1">
      <c r="A85" s="605"/>
      <c r="B85" s="606"/>
      <c r="C85" s="730" t="s">
        <v>403</v>
      </c>
      <c r="D85" s="731"/>
      <c r="E85" s="568">
        <v>1</v>
      </c>
      <c r="F85" s="569">
        <f>1.4*1600</f>
        <v>2240</v>
      </c>
      <c r="G85" s="570">
        <f>E85*F85</f>
        <v>2240</v>
      </c>
      <c r="H85" s="571"/>
    </row>
    <row r="86" spans="1:8" ht="42.75" customHeight="1" thickBot="1">
      <c r="A86" s="655"/>
      <c r="B86" s="656"/>
      <c r="C86" s="732" t="s">
        <v>445</v>
      </c>
      <c r="D86" s="733"/>
      <c r="E86" s="572">
        <f>7</f>
        <v>7</v>
      </c>
      <c r="F86" s="573">
        <f>0.85*1600</f>
        <v>1360</v>
      </c>
      <c r="G86" s="574">
        <f>E86*F86</f>
        <v>9520</v>
      </c>
      <c r="H86" s="575"/>
    </row>
    <row r="87" spans="1:8" ht="23.25" customHeight="1" thickBot="1">
      <c r="A87" s="669" t="s">
        <v>77</v>
      </c>
      <c r="B87" s="670"/>
      <c r="C87" s="670"/>
      <c r="D87" s="670"/>
      <c r="E87" s="670"/>
      <c r="F87" s="670"/>
      <c r="G87" s="670"/>
      <c r="H87" s="671"/>
    </row>
    <row r="88" spans="1:8" ht="45" customHeight="1">
      <c r="A88" s="605"/>
      <c r="B88" s="606"/>
      <c r="C88" s="730" t="s">
        <v>404</v>
      </c>
      <c r="D88" s="731"/>
      <c r="E88" s="568">
        <v>1</v>
      </c>
      <c r="F88" s="569">
        <f>1.4*1600</f>
        <v>2240</v>
      </c>
      <c r="G88" s="570">
        <f>E88*F88</f>
        <v>2240</v>
      </c>
      <c r="H88" s="571"/>
    </row>
    <row r="89" spans="1:8" ht="30.75" customHeight="1" thickBot="1">
      <c r="A89" s="672"/>
      <c r="B89" s="673"/>
      <c r="C89" s="725" t="s">
        <v>444</v>
      </c>
      <c r="D89" s="726"/>
      <c r="E89" s="576">
        <v>5</v>
      </c>
      <c r="F89" s="577">
        <f>0.85*1600</f>
        <v>1360</v>
      </c>
      <c r="G89" s="578">
        <f>E89*F89</f>
        <v>6800</v>
      </c>
      <c r="H89" s="579"/>
    </row>
    <row r="90" spans="1:8" ht="20.25" customHeight="1" thickBot="1">
      <c r="A90" s="669" t="s">
        <v>78</v>
      </c>
      <c r="B90" s="670"/>
      <c r="C90" s="686"/>
      <c r="D90" s="670"/>
      <c r="E90" s="670"/>
      <c r="F90" s="670"/>
      <c r="G90" s="670"/>
      <c r="H90" s="671"/>
    </row>
    <row r="91" spans="1:8" ht="45" customHeight="1">
      <c r="A91" s="597"/>
      <c r="B91" s="598"/>
      <c r="C91" s="723" t="s">
        <v>405</v>
      </c>
      <c r="D91" s="724"/>
      <c r="E91" s="580">
        <v>1</v>
      </c>
      <c r="F91" s="581">
        <f>1.4*1600</f>
        <v>2240</v>
      </c>
      <c r="G91" s="582">
        <f>E91*F91</f>
        <v>2240</v>
      </c>
      <c r="H91" s="579"/>
    </row>
    <row r="92" spans="1:8" ht="30.75" customHeight="1" thickBot="1">
      <c r="A92" s="672"/>
      <c r="B92" s="673"/>
      <c r="C92" s="725" t="s">
        <v>443</v>
      </c>
      <c r="D92" s="726"/>
      <c r="E92" s="576">
        <v>1</v>
      </c>
      <c r="F92" s="577">
        <f>0.85*1600</f>
        <v>1360</v>
      </c>
      <c r="G92" s="578">
        <f>E92*F92</f>
        <v>1360</v>
      </c>
      <c r="H92" s="579"/>
    </row>
    <row r="93" spans="1:8" ht="23.25" customHeight="1" thickBot="1">
      <c r="A93" s="669" t="s">
        <v>286</v>
      </c>
      <c r="B93" s="670"/>
      <c r="C93" s="670"/>
      <c r="D93" s="670"/>
      <c r="E93" s="670"/>
      <c r="F93" s="670"/>
      <c r="G93" s="670"/>
      <c r="H93" s="671"/>
    </row>
    <row r="94" spans="1:8" ht="39.75" customHeight="1">
      <c r="A94" s="597"/>
      <c r="B94" s="598"/>
      <c r="C94" s="723" t="s">
        <v>406</v>
      </c>
      <c r="D94" s="724"/>
      <c r="E94" s="580">
        <v>1</v>
      </c>
      <c r="F94" s="581">
        <f>1.4*1600</f>
        <v>2240</v>
      </c>
      <c r="G94" s="582">
        <f>E94*F94</f>
        <v>2240</v>
      </c>
      <c r="H94" s="579"/>
    </row>
    <row r="95" spans="1:8" ht="30.75" customHeight="1" thickBot="1">
      <c r="A95" s="672"/>
      <c r="B95" s="673"/>
      <c r="C95" s="725" t="s">
        <v>442</v>
      </c>
      <c r="D95" s="726"/>
      <c r="E95" s="576">
        <v>1</v>
      </c>
      <c r="F95" s="577">
        <f>0.85*1600</f>
        <v>1360</v>
      </c>
      <c r="G95" s="578">
        <f>E95*F95</f>
        <v>1360</v>
      </c>
      <c r="H95" s="579"/>
    </row>
    <row r="96" spans="1:8" ht="26.25" customHeight="1" thickBot="1">
      <c r="A96" s="669" t="s">
        <v>287</v>
      </c>
      <c r="B96" s="670"/>
      <c r="C96" s="670"/>
      <c r="D96" s="670"/>
      <c r="E96" s="670"/>
      <c r="F96" s="670"/>
      <c r="G96" s="670"/>
      <c r="H96" s="671"/>
    </row>
    <row r="97" spans="1:8" ht="45" customHeight="1">
      <c r="A97" s="597"/>
      <c r="B97" s="598"/>
      <c r="C97" s="723" t="s">
        <v>407</v>
      </c>
      <c r="D97" s="724"/>
      <c r="E97" s="580">
        <v>1</v>
      </c>
      <c r="F97" s="581">
        <f>1.4*1600</f>
        <v>2240</v>
      </c>
      <c r="G97" s="582">
        <f>E97*F97</f>
        <v>2240</v>
      </c>
      <c r="H97" s="579"/>
    </row>
    <row r="98" spans="1:8" ht="30.75" customHeight="1" thickBot="1">
      <c r="A98" s="672"/>
      <c r="B98" s="673"/>
      <c r="C98" s="725" t="s">
        <v>441</v>
      </c>
      <c r="D98" s="726"/>
      <c r="E98" s="576">
        <v>1</v>
      </c>
      <c r="F98" s="577">
        <f>0.85*1600</f>
        <v>1360</v>
      </c>
      <c r="G98" s="578">
        <f>E98*F98</f>
        <v>1360</v>
      </c>
      <c r="H98" s="579"/>
    </row>
    <row r="99" spans="1:8" ht="31.5" customHeight="1" thickBot="1">
      <c r="A99" s="669" t="s">
        <v>79</v>
      </c>
      <c r="B99" s="670"/>
      <c r="C99" s="670"/>
      <c r="D99" s="670"/>
      <c r="E99" s="670"/>
      <c r="F99" s="670"/>
      <c r="G99" s="670"/>
      <c r="H99" s="671"/>
    </row>
    <row r="100" spans="1:8" ht="55.5" customHeight="1">
      <c r="A100" s="597"/>
      <c r="B100" s="598"/>
      <c r="C100" s="723" t="s">
        <v>408</v>
      </c>
      <c r="D100" s="724"/>
      <c r="E100" s="580">
        <v>1</v>
      </c>
      <c r="F100" s="581">
        <f>1.4*1600</f>
        <v>2240</v>
      </c>
      <c r="G100" s="582">
        <f>E100*F100</f>
        <v>2240</v>
      </c>
      <c r="H100" s="579"/>
    </row>
    <row r="101" spans="1:8" ht="42" customHeight="1" thickBot="1">
      <c r="A101" s="672"/>
      <c r="B101" s="673"/>
      <c r="C101" s="725" t="s">
        <v>446</v>
      </c>
      <c r="D101" s="726"/>
      <c r="E101" s="576">
        <v>2</v>
      </c>
      <c r="F101" s="577">
        <f>0.85*1600</f>
        <v>1360</v>
      </c>
      <c r="G101" s="578">
        <f>E101*F101</f>
        <v>2720</v>
      </c>
      <c r="H101" s="579"/>
    </row>
    <row r="102" spans="1:8" ht="28.5" customHeight="1" thickBot="1">
      <c r="A102" s="669" t="s">
        <v>80</v>
      </c>
      <c r="B102" s="670"/>
      <c r="C102" s="670"/>
      <c r="D102" s="670"/>
      <c r="E102" s="670"/>
      <c r="F102" s="670"/>
      <c r="G102" s="670"/>
      <c r="H102" s="671"/>
    </row>
    <row r="103" spans="1:8" ht="45" customHeight="1">
      <c r="A103" s="597"/>
      <c r="B103" s="598"/>
      <c r="C103" s="723" t="s">
        <v>409</v>
      </c>
      <c r="D103" s="724"/>
      <c r="E103" s="580">
        <v>1</v>
      </c>
      <c r="F103" s="581">
        <f>1.4*1600</f>
        <v>2240</v>
      </c>
      <c r="G103" s="582">
        <f>E103*F103</f>
        <v>2240</v>
      </c>
      <c r="H103" s="579"/>
    </row>
    <row r="104" spans="1:8" ht="30.75" customHeight="1" thickBot="1">
      <c r="A104" s="672"/>
      <c r="B104" s="673"/>
      <c r="C104" s="725" t="s">
        <v>440</v>
      </c>
      <c r="D104" s="726"/>
      <c r="E104" s="576">
        <v>1</v>
      </c>
      <c r="F104" s="577">
        <f>0.85*1600</f>
        <v>1360</v>
      </c>
      <c r="G104" s="578">
        <f>E104*F104</f>
        <v>1360</v>
      </c>
      <c r="H104" s="579"/>
    </row>
    <row r="105" spans="1:8" ht="33.75" customHeight="1" thickBot="1">
      <c r="A105" s="669" t="s">
        <v>81</v>
      </c>
      <c r="B105" s="670"/>
      <c r="C105" s="670"/>
      <c r="D105" s="670"/>
      <c r="E105" s="670"/>
      <c r="F105" s="670"/>
      <c r="G105" s="670"/>
      <c r="H105" s="671"/>
    </row>
    <row r="106" spans="1:8" ht="45" customHeight="1">
      <c r="A106" s="597"/>
      <c r="B106" s="598"/>
      <c r="C106" s="723" t="s">
        <v>410</v>
      </c>
      <c r="D106" s="724"/>
      <c r="E106" s="580">
        <v>1</v>
      </c>
      <c r="F106" s="581">
        <f>1.4*1600</f>
        <v>2240</v>
      </c>
      <c r="G106" s="582">
        <f>E106*F106</f>
        <v>2240</v>
      </c>
      <c r="H106" s="579"/>
    </row>
    <row r="107" spans="1:8" ht="30.75" customHeight="1" thickBot="1">
      <c r="A107" s="672"/>
      <c r="B107" s="673"/>
      <c r="C107" s="725" t="s">
        <v>439</v>
      </c>
      <c r="D107" s="726"/>
      <c r="E107" s="576">
        <v>1</v>
      </c>
      <c r="F107" s="577">
        <f>0.85*1600</f>
        <v>1360</v>
      </c>
      <c r="G107" s="578">
        <f>E107*F107</f>
        <v>1360</v>
      </c>
      <c r="H107" s="579"/>
    </row>
    <row r="108" spans="1:8" ht="18" customHeight="1" thickBot="1">
      <c r="A108" s="669" t="s">
        <v>82</v>
      </c>
      <c r="B108" s="670"/>
      <c r="C108" s="670"/>
      <c r="D108" s="670"/>
      <c r="E108" s="670"/>
      <c r="F108" s="670"/>
      <c r="G108" s="670"/>
      <c r="H108" s="671"/>
    </row>
    <row r="109" spans="1:8" ht="45" customHeight="1">
      <c r="A109" s="597"/>
      <c r="B109" s="598"/>
      <c r="C109" s="723" t="s">
        <v>411</v>
      </c>
      <c r="D109" s="724"/>
      <c r="E109" s="580">
        <v>1</v>
      </c>
      <c r="F109" s="581">
        <f>1.4*1600</f>
        <v>2240</v>
      </c>
      <c r="G109" s="582">
        <f>E109*F109</f>
        <v>2240</v>
      </c>
      <c r="H109" s="579"/>
    </row>
    <row r="110" spans="1:8" ht="30.75" customHeight="1" thickBot="1">
      <c r="A110" s="672"/>
      <c r="B110" s="673"/>
      <c r="C110" s="725" t="s">
        <v>438</v>
      </c>
      <c r="D110" s="726"/>
      <c r="E110" s="576">
        <v>1</v>
      </c>
      <c r="F110" s="577">
        <f>0.85*1600</f>
        <v>1360</v>
      </c>
      <c r="G110" s="578">
        <f>E110*F110</f>
        <v>1360</v>
      </c>
      <c r="H110" s="579"/>
    </row>
    <row r="111" spans="1:8" ht="22.5" customHeight="1" thickBot="1">
      <c r="A111" s="669" t="s">
        <v>83</v>
      </c>
      <c r="B111" s="670"/>
      <c r="C111" s="670"/>
      <c r="D111" s="670"/>
      <c r="E111" s="670"/>
      <c r="F111" s="670"/>
      <c r="G111" s="670"/>
      <c r="H111" s="671"/>
    </row>
    <row r="112" spans="1:8" ht="45" customHeight="1">
      <c r="A112" s="597"/>
      <c r="B112" s="598"/>
      <c r="C112" s="723" t="s">
        <v>412</v>
      </c>
      <c r="D112" s="724"/>
      <c r="E112" s="580">
        <v>1</v>
      </c>
      <c r="F112" s="581">
        <f>1.4*1600</f>
        <v>2240</v>
      </c>
      <c r="G112" s="582">
        <f>E112*F112</f>
        <v>2240</v>
      </c>
      <c r="H112" s="579"/>
    </row>
    <row r="113" spans="1:8" ht="30.75" customHeight="1" thickBot="1">
      <c r="A113" s="672"/>
      <c r="B113" s="673"/>
      <c r="C113" s="725" t="s">
        <v>447</v>
      </c>
      <c r="D113" s="726"/>
      <c r="E113" s="576">
        <v>1</v>
      </c>
      <c r="F113" s="577">
        <f>0.85*1600</f>
        <v>1360</v>
      </c>
      <c r="G113" s="578">
        <f>E113*F113</f>
        <v>1360</v>
      </c>
      <c r="H113" s="579"/>
    </row>
    <row r="114" spans="1:8" ht="20.25" customHeight="1" thickBot="1">
      <c r="A114" s="669" t="s">
        <v>84</v>
      </c>
      <c r="B114" s="670"/>
      <c r="C114" s="670"/>
      <c r="D114" s="670"/>
      <c r="E114" s="670"/>
      <c r="F114" s="670"/>
      <c r="G114" s="670"/>
      <c r="H114" s="671"/>
    </row>
    <row r="115" spans="1:8" ht="45" customHeight="1">
      <c r="A115" s="597"/>
      <c r="B115" s="598"/>
      <c r="C115" s="723" t="s">
        <v>413</v>
      </c>
      <c r="D115" s="724"/>
      <c r="E115" s="580">
        <v>1</v>
      </c>
      <c r="F115" s="581">
        <f>1.4*1600</f>
        <v>2240</v>
      </c>
      <c r="G115" s="582">
        <f>E115*F115</f>
        <v>2240</v>
      </c>
      <c r="H115" s="579"/>
    </row>
    <row r="116" spans="1:8" ht="30.75" customHeight="1" thickBot="1">
      <c r="A116" s="672"/>
      <c r="B116" s="673"/>
      <c r="C116" s="725" t="s">
        <v>437</v>
      </c>
      <c r="D116" s="726"/>
      <c r="E116" s="576">
        <v>1</v>
      </c>
      <c r="F116" s="577">
        <f>0.85*1600</f>
        <v>1360</v>
      </c>
      <c r="G116" s="578">
        <f>E116*F116</f>
        <v>1360</v>
      </c>
      <c r="H116" s="579"/>
    </row>
    <row r="117" spans="1:8" ht="21" customHeight="1" thickBot="1">
      <c r="A117" s="669" t="s">
        <v>85</v>
      </c>
      <c r="B117" s="670"/>
      <c r="C117" s="670"/>
      <c r="D117" s="670"/>
      <c r="E117" s="670"/>
      <c r="F117" s="670"/>
      <c r="G117" s="670"/>
      <c r="H117" s="671"/>
    </row>
    <row r="118" spans="1:8" ht="45" customHeight="1">
      <c r="A118" s="597"/>
      <c r="B118" s="598"/>
      <c r="C118" s="723" t="s">
        <v>414</v>
      </c>
      <c r="D118" s="724"/>
      <c r="E118" s="580">
        <v>1</v>
      </c>
      <c r="F118" s="581">
        <f>1.4*1600</f>
        <v>2240</v>
      </c>
      <c r="G118" s="582">
        <f>E118*F118</f>
        <v>2240</v>
      </c>
      <c r="H118" s="579"/>
    </row>
    <row r="119" spans="1:8" ht="30.75" customHeight="1" thickBot="1">
      <c r="A119" s="672"/>
      <c r="B119" s="673"/>
      <c r="C119" s="725" t="s">
        <v>436</v>
      </c>
      <c r="D119" s="726"/>
      <c r="E119" s="576">
        <v>3</v>
      </c>
      <c r="F119" s="577">
        <f>0.85*1600</f>
        <v>1360</v>
      </c>
      <c r="G119" s="578">
        <f>E119*F119</f>
        <v>4080</v>
      </c>
      <c r="H119" s="579"/>
    </row>
    <row r="120" spans="1:8" ht="25.5" customHeight="1" thickBot="1">
      <c r="A120" s="669" t="s">
        <v>86</v>
      </c>
      <c r="B120" s="670"/>
      <c r="C120" s="670"/>
      <c r="D120" s="670"/>
      <c r="E120" s="670"/>
      <c r="F120" s="670"/>
      <c r="G120" s="670"/>
      <c r="H120" s="671"/>
    </row>
    <row r="121" spans="1:8" ht="45" customHeight="1">
      <c r="A121" s="597"/>
      <c r="B121" s="598"/>
      <c r="C121" s="723" t="s">
        <v>415</v>
      </c>
      <c r="D121" s="724"/>
      <c r="E121" s="580">
        <v>1</v>
      </c>
      <c r="F121" s="581">
        <f>1.4*1600</f>
        <v>2240</v>
      </c>
      <c r="G121" s="582">
        <f>E121*F121</f>
        <v>2240</v>
      </c>
      <c r="H121" s="579"/>
    </row>
    <row r="122" spans="1:8" ht="30.75" customHeight="1" thickBot="1">
      <c r="A122" s="672"/>
      <c r="B122" s="673"/>
      <c r="C122" s="725" t="s">
        <v>435</v>
      </c>
      <c r="D122" s="726"/>
      <c r="E122" s="576">
        <v>3</v>
      </c>
      <c r="F122" s="577">
        <f>0.85*1600</f>
        <v>1360</v>
      </c>
      <c r="G122" s="578">
        <f>E122*F122</f>
        <v>4080</v>
      </c>
      <c r="H122" s="579"/>
    </row>
    <row r="123" spans="1:8" ht="23.25" customHeight="1" thickBot="1">
      <c r="A123" s="669" t="s">
        <v>87</v>
      </c>
      <c r="B123" s="670"/>
      <c r="C123" s="670"/>
      <c r="D123" s="670"/>
      <c r="E123" s="670"/>
      <c r="F123" s="670"/>
      <c r="G123" s="670"/>
      <c r="H123" s="671"/>
    </row>
    <row r="124" spans="1:8" ht="45" customHeight="1">
      <c r="A124" s="597"/>
      <c r="B124" s="598"/>
      <c r="C124" s="723" t="s">
        <v>416</v>
      </c>
      <c r="D124" s="724"/>
      <c r="E124" s="580">
        <v>1</v>
      </c>
      <c r="F124" s="581">
        <f>1.4*1600</f>
        <v>2240</v>
      </c>
      <c r="G124" s="582">
        <f>E124*F124</f>
        <v>2240</v>
      </c>
      <c r="H124" s="579"/>
    </row>
    <row r="125" spans="1:8" ht="30.75" customHeight="1" thickBot="1">
      <c r="A125" s="672"/>
      <c r="B125" s="673"/>
      <c r="C125" s="725" t="s">
        <v>434</v>
      </c>
      <c r="D125" s="726"/>
      <c r="E125" s="576">
        <v>1</v>
      </c>
      <c r="F125" s="577">
        <f>0.85*1600</f>
        <v>1360</v>
      </c>
      <c r="G125" s="578">
        <f>E125*F125</f>
        <v>1360</v>
      </c>
      <c r="H125" s="579"/>
    </row>
    <row r="126" spans="1:8" ht="24.75" customHeight="1" thickBot="1">
      <c r="A126" s="669" t="s">
        <v>88</v>
      </c>
      <c r="B126" s="670"/>
      <c r="C126" s="670"/>
      <c r="D126" s="670"/>
      <c r="E126" s="670"/>
      <c r="F126" s="670"/>
      <c r="G126" s="670"/>
      <c r="H126" s="671"/>
    </row>
    <row r="127" spans="1:8" ht="45" customHeight="1">
      <c r="A127" s="597"/>
      <c r="B127" s="598"/>
      <c r="C127" s="723" t="s">
        <v>417</v>
      </c>
      <c r="D127" s="724"/>
      <c r="E127" s="580">
        <v>1</v>
      </c>
      <c r="F127" s="581">
        <f>1.4*1600</f>
        <v>2240</v>
      </c>
      <c r="G127" s="582">
        <f>E127*F127</f>
        <v>2240</v>
      </c>
      <c r="H127" s="579"/>
    </row>
    <row r="128" spans="1:8" ht="30.75" customHeight="1" thickBot="1">
      <c r="A128" s="672"/>
      <c r="B128" s="673"/>
      <c r="C128" s="725" t="s">
        <v>433</v>
      </c>
      <c r="D128" s="726"/>
      <c r="E128" s="576">
        <v>1</v>
      </c>
      <c r="F128" s="577">
        <f>0.85*1600</f>
        <v>1360</v>
      </c>
      <c r="G128" s="578">
        <f>E128*F128</f>
        <v>1360</v>
      </c>
      <c r="H128" s="579"/>
    </row>
    <row r="129" spans="1:8" ht="25.5" customHeight="1" thickBot="1">
      <c r="A129" s="669" t="s">
        <v>89</v>
      </c>
      <c r="B129" s="670"/>
      <c r="C129" s="670"/>
      <c r="D129" s="670"/>
      <c r="E129" s="670"/>
      <c r="F129" s="670"/>
      <c r="G129" s="670"/>
      <c r="H129" s="671"/>
    </row>
    <row r="130" spans="1:8" ht="45" customHeight="1">
      <c r="A130" s="597"/>
      <c r="B130" s="598"/>
      <c r="C130" s="723" t="s">
        <v>418</v>
      </c>
      <c r="D130" s="724"/>
      <c r="E130" s="580">
        <v>1</v>
      </c>
      <c r="F130" s="581">
        <f>1.4*1600</f>
        <v>2240</v>
      </c>
      <c r="G130" s="582">
        <f>E130*F130</f>
        <v>2240</v>
      </c>
      <c r="H130" s="579"/>
    </row>
    <row r="131" spans="1:8" ht="30.75" customHeight="1" thickBot="1">
      <c r="A131" s="672"/>
      <c r="B131" s="673"/>
      <c r="C131" s="725" t="s">
        <v>428</v>
      </c>
      <c r="D131" s="726"/>
      <c r="E131" s="576">
        <f>1</f>
        <v>1</v>
      </c>
      <c r="F131" s="577">
        <f>0.85*1600</f>
        <v>1360</v>
      </c>
      <c r="G131" s="578">
        <f>E131*F131</f>
        <v>1360</v>
      </c>
      <c r="H131" s="579"/>
    </row>
    <row r="132" spans="1:8" s="685" customFormat="1" ht="23.25" customHeight="1" thickBot="1">
      <c r="A132" s="682" t="s">
        <v>90</v>
      </c>
      <c r="B132" s="683"/>
      <c r="C132" s="683"/>
      <c r="D132" s="683"/>
      <c r="E132" s="683"/>
      <c r="F132" s="683"/>
      <c r="G132" s="683"/>
      <c r="H132" s="684"/>
    </row>
    <row r="133" spans="1:8" ht="45" customHeight="1">
      <c r="A133" s="597"/>
      <c r="B133" s="598"/>
      <c r="C133" s="723" t="s">
        <v>419</v>
      </c>
      <c r="D133" s="724"/>
      <c r="E133" s="580">
        <v>1</v>
      </c>
      <c r="F133" s="581">
        <f>1.4*1600</f>
        <v>2240</v>
      </c>
      <c r="G133" s="582">
        <f>E133*F133</f>
        <v>2240</v>
      </c>
      <c r="H133" s="579"/>
    </row>
    <row r="134" spans="1:8" ht="30.75" customHeight="1" thickBot="1">
      <c r="A134" s="672"/>
      <c r="B134" s="673"/>
      <c r="C134" s="725" t="s">
        <v>427</v>
      </c>
      <c r="D134" s="726"/>
      <c r="E134" s="576">
        <v>2</v>
      </c>
      <c r="F134" s="577">
        <f>0.85*1600</f>
        <v>1360</v>
      </c>
      <c r="G134" s="578">
        <f>E134*F134</f>
        <v>2720</v>
      </c>
      <c r="H134" s="579"/>
    </row>
    <row r="135" spans="1:8" ht="27" customHeight="1" thickBot="1">
      <c r="A135" s="669" t="s">
        <v>91</v>
      </c>
      <c r="B135" s="670"/>
      <c r="C135" s="670"/>
      <c r="D135" s="670"/>
      <c r="E135" s="670"/>
      <c r="F135" s="670"/>
      <c r="G135" s="670"/>
      <c r="H135" s="671"/>
    </row>
    <row r="136" spans="1:8" ht="45" customHeight="1">
      <c r="A136" s="597"/>
      <c r="B136" s="598"/>
      <c r="C136" s="723" t="s">
        <v>420</v>
      </c>
      <c r="D136" s="724"/>
      <c r="E136" s="580">
        <v>1</v>
      </c>
      <c r="F136" s="581">
        <f>1.4*1600</f>
        <v>2240</v>
      </c>
      <c r="G136" s="582">
        <f>E136*F136</f>
        <v>2240</v>
      </c>
      <c r="H136" s="579"/>
    </row>
    <row r="137" spans="1:8" ht="31.5" customHeight="1" thickBot="1">
      <c r="A137" s="672"/>
      <c r="B137" s="673"/>
      <c r="C137" s="725" t="s">
        <v>426</v>
      </c>
      <c r="D137" s="726"/>
      <c r="E137" s="576">
        <v>3</v>
      </c>
      <c r="F137" s="577">
        <f>0.85*1600</f>
        <v>1360</v>
      </c>
      <c r="G137" s="578">
        <f>E137*F137</f>
        <v>4080</v>
      </c>
      <c r="H137" s="579"/>
    </row>
    <row r="138" spans="1:8" ht="23.25" customHeight="1" thickBot="1">
      <c r="A138" s="669" t="s">
        <v>92</v>
      </c>
      <c r="B138" s="670"/>
      <c r="C138" s="670"/>
      <c r="D138" s="670"/>
      <c r="E138" s="670"/>
      <c r="F138" s="670"/>
      <c r="G138" s="670"/>
      <c r="H138" s="671"/>
    </row>
    <row r="139" spans="1:8" ht="45" customHeight="1">
      <c r="A139" s="597"/>
      <c r="B139" s="598"/>
      <c r="C139" s="723" t="s">
        <v>421</v>
      </c>
      <c r="D139" s="724"/>
      <c r="E139" s="580">
        <v>1</v>
      </c>
      <c r="F139" s="581">
        <f>1.4*1600</f>
        <v>2240</v>
      </c>
      <c r="G139" s="582">
        <f>E139*F139</f>
        <v>2240</v>
      </c>
      <c r="H139" s="579"/>
    </row>
    <row r="140" spans="1:8" ht="30.75" customHeight="1" thickBot="1">
      <c r="A140" s="672"/>
      <c r="B140" s="673"/>
      <c r="C140" s="725" t="s">
        <v>448</v>
      </c>
      <c r="D140" s="726"/>
      <c r="E140" s="576">
        <v>2</v>
      </c>
      <c r="F140" s="577">
        <f>0.85*1600</f>
        <v>1360</v>
      </c>
      <c r="G140" s="578">
        <f>E140*F140</f>
        <v>2720</v>
      </c>
      <c r="H140" s="579"/>
    </row>
    <row r="141" spans="1:8" ht="24.75" customHeight="1" thickBot="1">
      <c r="A141" s="669" t="s">
        <v>93</v>
      </c>
      <c r="B141" s="670"/>
      <c r="C141" s="670"/>
      <c r="D141" s="670"/>
      <c r="E141" s="670"/>
      <c r="F141" s="670"/>
      <c r="G141" s="670"/>
      <c r="H141" s="671"/>
    </row>
    <row r="142" spans="1:8" ht="45" customHeight="1">
      <c r="A142" s="597"/>
      <c r="B142" s="598"/>
      <c r="C142" s="723" t="s">
        <v>422</v>
      </c>
      <c r="D142" s="724"/>
      <c r="E142" s="580">
        <v>1</v>
      </c>
      <c r="F142" s="581">
        <f>1.4*1600</f>
        <v>2240</v>
      </c>
      <c r="G142" s="582">
        <f>E142*F142</f>
        <v>2240</v>
      </c>
      <c r="H142" s="579"/>
    </row>
    <row r="143" spans="1:8" ht="30.75" customHeight="1" thickBot="1">
      <c r="A143" s="672"/>
      <c r="B143" s="673"/>
      <c r="C143" s="725" t="s">
        <v>429</v>
      </c>
      <c r="D143" s="726"/>
      <c r="E143" s="576">
        <v>2</v>
      </c>
      <c r="F143" s="577">
        <f>0.85*1600</f>
        <v>1360</v>
      </c>
      <c r="G143" s="578">
        <f>E143*F143</f>
        <v>2720</v>
      </c>
      <c r="H143" s="579"/>
    </row>
    <row r="144" spans="1:8" ht="24.75" customHeight="1" thickBot="1">
      <c r="A144" s="669" t="s">
        <v>94</v>
      </c>
      <c r="B144" s="670"/>
      <c r="C144" s="670"/>
      <c r="D144" s="670"/>
      <c r="E144" s="670"/>
      <c r="F144" s="670"/>
      <c r="G144" s="670"/>
      <c r="H144" s="671"/>
    </row>
    <row r="145" spans="1:8" ht="51.75" customHeight="1">
      <c r="A145" s="597"/>
      <c r="B145" s="598"/>
      <c r="C145" s="723" t="s">
        <v>423</v>
      </c>
      <c r="D145" s="724"/>
      <c r="E145" s="580">
        <v>1</v>
      </c>
      <c r="F145" s="581">
        <f>1.4*1600</f>
        <v>2240</v>
      </c>
      <c r="G145" s="582">
        <f>E145*F145</f>
        <v>2240</v>
      </c>
      <c r="H145" s="579"/>
    </row>
    <row r="146" spans="1:8" ht="30.75" customHeight="1" thickBot="1">
      <c r="A146" s="672"/>
      <c r="B146" s="673"/>
      <c r="C146" s="725" t="s">
        <v>432</v>
      </c>
      <c r="D146" s="726"/>
      <c r="E146" s="576">
        <v>2</v>
      </c>
      <c r="F146" s="577">
        <f>0.85*1600</f>
        <v>1360</v>
      </c>
      <c r="G146" s="578">
        <f>E146*F146</f>
        <v>2720</v>
      </c>
      <c r="H146" s="579"/>
    </row>
    <row r="147" spans="1:8" ht="23.25" customHeight="1" thickBot="1">
      <c r="A147" s="669" t="s">
        <v>95</v>
      </c>
      <c r="B147" s="670"/>
      <c r="C147" s="670"/>
      <c r="D147" s="670"/>
      <c r="E147" s="670"/>
      <c r="F147" s="670"/>
      <c r="G147" s="670"/>
      <c r="H147" s="671"/>
    </row>
    <row r="148" spans="1:8" ht="45" customHeight="1">
      <c r="A148" s="597"/>
      <c r="B148" s="598"/>
      <c r="C148" s="723" t="s">
        <v>424</v>
      </c>
      <c r="D148" s="724"/>
      <c r="E148" s="580">
        <v>1</v>
      </c>
      <c r="F148" s="581">
        <f>1.4*1600</f>
        <v>2240</v>
      </c>
      <c r="G148" s="582">
        <f>E148*F148</f>
        <v>2240</v>
      </c>
      <c r="H148" s="579"/>
    </row>
    <row r="149" spans="1:8" ht="30.75" customHeight="1" thickBot="1">
      <c r="A149" s="672"/>
      <c r="B149" s="673"/>
      <c r="C149" s="725" t="s">
        <v>430</v>
      </c>
      <c r="D149" s="726"/>
      <c r="E149" s="576">
        <v>1</v>
      </c>
      <c r="F149" s="577">
        <f>0.85*1600</f>
        <v>1360</v>
      </c>
      <c r="G149" s="578">
        <f>E149*F149</f>
        <v>1360</v>
      </c>
      <c r="H149" s="579"/>
    </row>
    <row r="150" spans="1:8" ht="23.25" customHeight="1" thickBot="1">
      <c r="A150" s="669" t="s">
        <v>96</v>
      </c>
      <c r="B150" s="670"/>
      <c r="C150" s="670"/>
      <c r="D150" s="670"/>
      <c r="E150" s="670"/>
      <c r="F150" s="670"/>
      <c r="G150" s="670"/>
      <c r="H150" s="671"/>
    </row>
    <row r="151" spans="1:8" ht="45" customHeight="1">
      <c r="A151" s="597"/>
      <c r="B151" s="598"/>
      <c r="C151" s="723" t="s">
        <v>425</v>
      </c>
      <c r="D151" s="724"/>
      <c r="E151" s="580">
        <v>1</v>
      </c>
      <c r="F151" s="581">
        <f>1.4*1600</f>
        <v>2240</v>
      </c>
      <c r="G151" s="582">
        <f>E151*F151</f>
        <v>2240</v>
      </c>
      <c r="H151" s="579"/>
    </row>
    <row r="152" spans="1:8" ht="30.75" customHeight="1" thickBot="1">
      <c r="A152" s="672"/>
      <c r="B152" s="673"/>
      <c r="C152" s="725" t="s">
        <v>431</v>
      </c>
      <c r="D152" s="726"/>
      <c r="E152" s="576">
        <f>2</f>
        <v>2</v>
      </c>
      <c r="F152" s="577">
        <f>0.85*1600</f>
        <v>1360</v>
      </c>
      <c r="G152" s="578">
        <f>E152*F152</f>
        <v>2720</v>
      </c>
      <c r="H152" s="579"/>
    </row>
    <row r="153" spans="1:8" ht="24" customHeight="1" thickBot="1">
      <c r="A153" s="741" t="s">
        <v>97</v>
      </c>
      <c r="B153" s="742"/>
      <c r="C153" s="742"/>
      <c r="D153" s="674"/>
      <c r="E153" s="675">
        <f>E83+E76++E65+E56+E50+E36+E28+E8+E4</f>
        <v>154</v>
      </c>
      <c r="F153" s="675"/>
      <c r="G153" s="675">
        <f>G83+G76++G65+G56+G50+G36+G28+G8+G4</f>
        <v>338960</v>
      </c>
      <c r="H153" s="579"/>
    </row>
  </sheetData>
  <autoFilter ref="A5:H153"/>
  <mergeCells count="51">
    <mergeCell ref="C115:D115"/>
    <mergeCell ref="C113:D113"/>
    <mergeCell ref="A153:C153"/>
    <mergeCell ref="C149:D149"/>
    <mergeCell ref="C148:D148"/>
    <mergeCell ref="C146:D146"/>
    <mergeCell ref="C145:D145"/>
    <mergeCell ref="C152:D152"/>
    <mergeCell ref="C151:D151"/>
    <mergeCell ref="C143:D143"/>
    <mergeCell ref="C142:D142"/>
    <mergeCell ref="C119:D119"/>
    <mergeCell ref="C118:D118"/>
    <mergeCell ref="C116:D116"/>
    <mergeCell ref="C124:D124"/>
    <mergeCell ref="C122:D122"/>
    <mergeCell ref="C94:D94"/>
    <mergeCell ref="C92:D92"/>
    <mergeCell ref="C91:D91"/>
    <mergeCell ref="C95:D95"/>
    <mergeCell ref="D2:D3"/>
    <mergeCell ref="A1:H1"/>
    <mergeCell ref="C89:D89"/>
    <mergeCell ref="C88:D88"/>
    <mergeCell ref="C86:D86"/>
    <mergeCell ref="C85:D85"/>
    <mergeCell ref="C2:C3"/>
    <mergeCell ref="E2:H2"/>
    <mergeCell ref="C98:D98"/>
    <mergeCell ref="C97:D97"/>
    <mergeCell ref="C112:D112"/>
    <mergeCell ref="C110:D110"/>
    <mergeCell ref="C109:D109"/>
    <mergeCell ref="C107:D107"/>
    <mergeCell ref="C106:D106"/>
    <mergeCell ref="C104:D104"/>
    <mergeCell ref="C103:D103"/>
    <mergeCell ref="C101:D101"/>
    <mergeCell ref="C100:D100"/>
    <mergeCell ref="C121:D121"/>
    <mergeCell ref="C140:D140"/>
    <mergeCell ref="C139:D139"/>
    <mergeCell ref="C137:D137"/>
    <mergeCell ref="C136:D136"/>
    <mergeCell ref="C134:D134"/>
    <mergeCell ref="C133:D133"/>
    <mergeCell ref="C131:D131"/>
    <mergeCell ref="C130:D130"/>
    <mergeCell ref="C125:D125"/>
    <mergeCell ref="C128:D128"/>
    <mergeCell ref="C127:D127"/>
  </mergeCells>
  <pageMargins left="0.7" right="0.7" top="0.75" bottom="0.75" header="0.3" footer="0.3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461"/>
  <sheetViews>
    <sheetView view="pageBreakPreview" topLeftCell="A436" zoomScaleSheetLayoutView="100" workbookViewId="0">
      <selection activeCell="K452" sqref="K452"/>
    </sheetView>
  </sheetViews>
  <sheetFormatPr defaultColWidth="9.140625" defaultRowHeight="15"/>
  <cols>
    <col min="1" max="1" width="4.42578125" style="1" customWidth="1"/>
    <col min="2" max="2" width="39.5703125" style="198" customWidth="1"/>
    <col min="3" max="3" width="6.28515625" style="7" customWidth="1"/>
    <col min="4" max="4" width="9.28515625" style="7" customWidth="1"/>
    <col min="5" max="5" width="7.5703125" style="7" customWidth="1"/>
    <col min="6" max="6" width="9.140625" style="206" customWidth="1"/>
    <col min="7" max="7" width="8.28515625" style="206" customWidth="1"/>
    <col min="8" max="8" width="7.28515625" style="206" customWidth="1"/>
    <col min="9" max="9" width="7.7109375" style="206" customWidth="1"/>
    <col min="10" max="11" width="10.28515625" style="139" customWidth="1"/>
    <col min="12" max="16384" width="9.140625" style="7"/>
  </cols>
  <sheetData>
    <row r="1" spans="1:11" ht="39.75" customHeight="1" thickBot="1">
      <c r="A1" s="761" t="s">
        <v>42</v>
      </c>
      <c r="B1" s="761"/>
      <c r="C1" s="761"/>
      <c r="D1" s="761"/>
      <c r="E1" s="761"/>
      <c r="F1" s="761"/>
      <c r="G1" s="761"/>
      <c r="H1" s="761"/>
      <c r="I1" s="761"/>
      <c r="J1" s="761"/>
      <c r="K1" s="761"/>
    </row>
    <row r="2" spans="1:11" ht="44.25" customHeight="1" thickBot="1">
      <c r="A2" s="754" t="s">
        <v>29</v>
      </c>
      <c r="B2" s="756" t="s">
        <v>107</v>
      </c>
      <c r="C2" s="750" t="s">
        <v>2</v>
      </c>
      <c r="D2" s="758" t="s">
        <v>285</v>
      </c>
      <c r="E2" s="759"/>
      <c r="F2" s="758" t="s">
        <v>341</v>
      </c>
      <c r="G2" s="760"/>
      <c r="H2" s="748" t="s">
        <v>355</v>
      </c>
      <c r="I2" s="749"/>
      <c r="J2" s="750" t="s">
        <v>398</v>
      </c>
      <c r="K2" s="752" t="s">
        <v>399</v>
      </c>
    </row>
    <row r="3" spans="1:11" ht="66.75" customHeight="1" thickBot="1">
      <c r="A3" s="762"/>
      <c r="B3" s="763"/>
      <c r="C3" s="751"/>
      <c r="D3" s="244" t="s">
        <v>353</v>
      </c>
      <c r="E3" s="245" t="s">
        <v>351</v>
      </c>
      <c r="F3" s="244" t="s">
        <v>353</v>
      </c>
      <c r="G3" s="359" t="s">
        <v>351</v>
      </c>
      <c r="H3" s="248" t="s">
        <v>353</v>
      </c>
      <c r="I3" s="249" t="s">
        <v>351</v>
      </c>
      <c r="J3" s="751"/>
      <c r="K3" s="753"/>
    </row>
    <row r="4" spans="1:11" ht="29.25" customHeight="1" thickBot="1">
      <c r="A4" s="47"/>
      <c r="B4" s="68" t="s">
        <v>108</v>
      </c>
      <c r="C4" s="349">
        <f>SUM(C5:C21)</f>
        <v>32</v>
      </c>
      <c r="D4" s="355"/>
      <c r="E4" s="356"/>
      <c r="F4" s="352"/>
      <c r="G4" s="241"/>
      <c r="H4" s="363"/>
      <c r="I4" s="364"/>
      <c r="J4" s="361">
        <f>SUM(J5:J21)</f>
        <v>26515</v>
      </c>
      <c r="K4" s="134">
        <f>SUM(K5:K21)</f>
        <v>31590</v>
      </c>
    </row>
    <row r="5" spans="1:11" ht="18.75" customHeight="1">
      <c r="A5" s="48"/>
      <c r="B5" s="238" t="s">
        <v>109</v>
      </c>
      <c r="C5" s="350">
        <v>1</v>
      </c>
      <c r="D5" s="357">
        <v>1540</v>
      </c>
      <c r="E5" s="358">
        <f t="shared" ref="E5:G21" si="0">D5-D5*0.2</f>
        <v>1232</v>
      </c>
      <c r="F5" s="353">
        <v>1700</v>
      </c>
      <c r="G5" s="360">
        <f t="shared" si="0"/>
        <v>1360</v>
      </c>
      <c r="H5" s="365">
        <f t="shared" ref="H5:I20" si="1">F5-D5</f>
        <v>160</v>
      </c>
      <c r="I5" s="358">
        <f t="shared" si="1"/>
        <v>128</v>
      </c>
      <c r="J5" s="362">
        <f>D5*C5</f>
        <v>1540</v>
      </c>
      <c r="K5" s="358">
        <f>F5*C5</f>
        <v>1700</v>
      </c>
    </row>
    <row r="6" spans="1:11" ht="18.75" customHeight="1">
      <c r="A6" s="48"/>
      <c r="B6" s="239" t="s">
        <v>15</v>
      </c>
      <c r="C6" s="351">
        <v>1</v>
      </c>
      <c r="D6" s="357">
        <v>1100</v>
      </c>
      <c r="E6" s="358">
        <f t="shared" si="0"/>
        <v>880</v>
      </c>
      <c r="F6" s="354">
        <f>D6+125</f>
        <v>1225</v>
      </c>
      <c r="G6" s="360">
        <f t="shared" si="0"/>
        <v>980</v>
      </c>
      <c r="H6" s="366">
        <f t="shared" si="1"/>
        <v>125</v>
      </c>
      <c r="I6" s="358">
        <f t="shared" si="1"/>
        <v>100</v>
      </c>
      <c r="J6" s="362">
        <f>D6*C6</f>
        <v>1100</v>
      </c>
      <c r="K6" s="358">
        <f>F6*C6</f>
        <v>1225</v>
      </c>
    </row>
    <row r="7" spans="1:11" ht="18.75" customHeight="1">
      <c r="A7" s="48"/>
      <c r="B7" s="239" t="s">
        <v>3</v>
      </c>
      <c r="C7" s="351">
        <v>1</v>
      </c>
      <c r="D7" s="357">
        <v>870</v>
      </c>
      <c r="E7" s="358">
        <f t="shared" si="0"/>
        <v>696</v>
      </c>
      <c r="F7" s="354">
        <f t="shared" ref="F7:F20" si="2">D7+125</f>
        <v>995</v>
      </c>
      <c r="G7" s="360">
        <f t="shared" si="0"/>
        <v>796</v>
      </c>
      <c r="H7" s="366">
        <f t="shared" si="1"/>
        <v>125</v>
      </c>
      <c r="I7" s="358">
        <f t="shared" si="1"/>
        <v>100</v>
      </c>
      <c r="J7" s="362">
        <f t="shared" ref="J7:J21" si="3">D7*C7</f>
        <v>870</v>
      </c>
      <c r="K7" s="358">
        <f t="shared" ref="K7:K21" si="4">F7*C7</f>
        <v>995</v>
      </c>
    </row>
    <row r="8" spans="1:11" ht="18.75" customHeight="1">
      <c r="A8" s="48"/>
      <c r="B8" s="239"/>
      <c r="C8" s="351">
        <v>1</v>
      </c>
      <c r="D8" s="357">
        <v>870</v>
      </c>
      <c r="E8" s="358">
        <f t="shared" si="0"/>
        <v>696</v>
      </c>
      <c r="F8" s="354">
        <f t="shared" si="2"/>
        <v>995</v>
      </c>
      <c r="G8" s="360">
        <f t="shared" si="0"/>
        <v>796</v>
      </c>
      <c r="H8" s="366">
        <f t="shared" si="1"/>
        <v>125</v>
      </c>
      <c r="I8" s="358">
        <f t="shared" si="1"/>
        <v>100</v>
      </c>
      <c r="J8" s="362">
        <f t="shared" si="3"/>
        <v>870</v>
      </c>
      <c r="K8" s="358">
        <f t="shared" si="4"/>
        <v>995</v>
      </c>
    </row>
    <row r="9" spans="1:11" ht="18.75" customHeight="1">
      <c r="A9" s="48"/>
      <c r="B9" s="240" t="s">
        <v>4</v>
      </c>
      <c r="C9" s="351">
        <v>1</v>
      </c>
      <c r="D9" s="357">
        <v>935</v>
      </c>
      <c r="E9" s="358">
        <f t="shared" si="0"/>
        <v>748</v>
      </c>
      <c r="F9" s="354">
        <v>1120</v>
      </c>
      <c r="G9" s="360">
        <f t="shared" si="0"/>
        <v>896</v>
      </c>
      <c r="H9" s="366">
        <f t="shared" si="1"/>
        <v>185</v>
      </c>
      <c r="I9" s="358">
        <f t="shared" si="1"/>
        <v>148</v>
      </c>
      <c r="J9" s="362">
        <f t="shared" si="3"/>
        <v>935</v>
      </c>
      <c r="K9" s="358">
        <f t="shared" si="4"/>
        <v>1120</v>
      </c>
    </row>
    <row r="10" spans="1:11" ht="18.75" customHeight="1">
      <c r="A10" s="48"/>
      <c r="B10" s="240" t="s">
        <v>110</v>
      </c>
      <c r="C10" s="351">
        <v>1</v>
      </c>
      <c r="D10" s="357">
        <v>990</v>
      </c>
      <c r="E10" s="358">
        <f t="shared" si="0"/>
        <v>792</v>
      </c>
      <c r="F10" s="354">
        <v>1120</v>
      </c>
      <c r="G10" s="360">
        <f t="shared" si="0"/>
        <v>896</v>
      </c>
      <c r="H10" s="366">
        <f t="shared" si="1"/>
        <v>130</v>
      </c>
      <c r="I10" s="358">
        <f t="shared" si="1"/>
        <v>104</v>
      </c>
      <c r="J10" s="362">
        <f t="shared" si="3"/>
        <v>990</v>
      </c>
      <c r="K10" s="358">
        <f t="shared" si="4"/>
        <v>1120</v>
      </c>
    </row>
    <row r="11" spans="1:11" ht="18.75" customHeight="1">
      <c r="A11" s="48"/>
      <c r="B11" s="239" t="s">
        <v>5</v>
      </c>
      <c r="C11" s="351">
        <v>1</v>
      </c>
      <c r="D11" s="357">
        <v>870</v>
      </c>
      <c r="E11" s="358">
        <f t="shared" si="0"/>
        <v>696</v>
      </c>
      <c r="F11" s="354">
        <f t="shared" si="2"/>
        <v>995</v>
      </c>
      <c r="G11" s="360">
        <f t="shared" si="0"/>
        <v>796</v>
      </c>
      <c r="H11" s="366">
        <f t="shared" si="1"/>
        <v>125</v>
      </c>
      <c r="I11" s="358">
        <f t="shared" si="1"/>
        <v>100</v>
      </c>
      <c r="J11" s="362">
        <f t="shared" si="3"/>
        <v>870</v>
      </c>
      <c r="K11" s="358">
        <f t="shared" si="4"/>
        <v>995</v>
      </c>
    </row>
    <row r="12" spans="1:11" ht="18.75" customHeight="1">
      <c r="A12" s="48"/>
      <c r="B12" s="239"/>
      <c r="C12" s="351">
        <v>1</v>
      </c>
      <c r="D12" s="357">
        <v>870</v>
      </c>
      <c r="E12" s="358">
        <f t="shared" si="0"/>
        <v>696</v>
      </c>
      <c r="F12" s="354">
        <f t="shared" si="2"/>
        <v>995</v>
      </c>
      <c r="G12" s="360">
        <f t="shared" si="0"/>
        <v>796</v>
      </c>
      <c r="H12" s="366">
        <f t="shared" si="1"/>
        <v>125</v>
      </c>
      <c r="I12" s="358">
        <f t="shared" si="1"/>
        <v>100</v>
      </c>
      <c r="J12" s="362">
        <f t="shared" si="3"/>
        <v>870</v>
      </c>
      <c r="K12" s="358">
        <f t="shared" si="4"/>
        <v>995</v>
      </c>
    </row>
    <row r="13" spans="1:11" ht="36.75" customHeight="1">
      <c r="A13" s="48"/>
      <c r="B13" s="239"/>
      <c r="C13" s="351">
        <v>1</v>
      </c>
      <c r="D13" s="357">
        <v>870</v>
      </c>
      <c r="E13" s="358">
        <f t="shared" si="0"/>
        <v>696</v>
      </c>
      <c r="F13" s="354">
        <f t="shared" si="2"/>
        <v>995</v>
      </c>
      <c r="G13" s="360">
        <f t="shared" si="0"/>
        <v>796</v>
      </c>
      <c r="H13" s="366">
        <f t="shared" si="1"/>
        <v>125</v>
      </c>
      <c r="I13" s="358">
        <f t="shared" si="1"/>
        <v>100</v>
      </c>
      <c r="J13" s="362">
        <f t="shared" si="3"/>
        <v>870</v>
      </c>
      <c r="K13" s="358">
        <f t="shared" si="4"/>
        <v>995</v>
      </c>
    </row>
    <row r="14" spans="1:11" ht="18.75" customHeight="1">
      <c r="A14" s="48"/>
      <c r="B14" s="239" t="s">
        <v>6</v>
      </c>
      <c r="C14" s="351">
        <v>1</v>
      </c>
      <c r="D14" s="357">
        <v>870</v>
      </c>
      <c r="E14" s="358">
        <f t="shared" si="0"/>
        <v>696</v>
      </c>
      <c r="F14" s="354">
        <v>1120</v>
      </c>
      <c r="G14" s="360">
        <f t="shared" si="0"/>
        <v>896</v>
      </c>
      <c r="H14" s="366">
        <f t="shared" si="1"/>
        <v>250</v>
      </c>
      <c r="I14" s="358">
        <f t="shared" si="1"/>
        <v>200</v>
      </c>
      <c r="J14" s="362">
        <f t="shared" si="3"/>
        <v>870</v>
      </c>
      <c r="K14" s="358">
        <f t="shared" si="4"/>
        <v>1120</v>
      </c>
    </row>
    <row r="15" spans="1:11" ht="18.75" customHeight="1">
      <c r="A15" s="48"/>
      <c r="B15" s="239" t="s">
        <v>195</v>
      </c>
      <c r="C15" s="351">
        <v>1</v>
      </c>
      <c r="D15" s="357">
        <v>870</v>
      </c>
      <c r="E15" s="358">
        <f t="shared" si="0"/>
        <v>696</v>
      </c>
      <c r="F15" s="354">
        <v>1120</v>
      </c>
      <c r="G15" s="360">
        <f t="shared" si="0"/>
        <v>896</v>
      </c>
      <c r="H15" s="366">
        <f t="shared" si="1"/>
        <v>250</v>
      </c>
      <c r="I15" s="358">
        <f t="shared" si="1"/>
        <v>200</v>
      </c>
      <c r="J15" s="362">
        <f t="shared" si="3"/>
        <v>870</v>
      </c>
      <c r="K15" s="358">
        <f t="shared" si="4"/>
        <v>1120</v>
      </c>
    </row>
    <row r="16" spans="1:11" ht="18.75" customHeight="1">
      <c r="A16" s="48"/>
      <c r="B16" s="239" t="s">
        <v>364</v>
      </c>
      <c r="C16" s="351">
        <v>1</v>
      </c>
      <c r="D16" s="357">
        <v>750</v>
      </c>
      <c r="E16" s="358">
        <f t="shared" si="0"/>
        <v>600</v>
      </c>
      <c r="F16" s="354">
        <f t="shared" si="2"/>
        <v>875</v>
      </c>
      <c r="G16" s="360">
        <f t="shared" si="0"/>
        <v>700</v>
      </c>
      <c r="H16" s="366">
        <f t="shared" si="1"/>
        <v>125</v>
      </c>
      <c r="I16" s="358">
        <f t="shared" si="1"/>
        <v>100</v>
      </c>
      <c r="J16" s="362">
        <f t="shared" si="3"/>
        <v>750</v>
      </c>
      <c r="K16" s="358">
        <f t="shared" si="4"/>
        <v>875</v>
      </c>
    </row>
    <row r="17" spans="1:11" ht="23.25" customHeight="1">
      <c r="A17" s="48"/>
      <c r="B17" s="239" t="s">
        <v>51</v>
      </c>
      <c r="C17" s="351">
        <v>1</v>
      </c>
      <c r="D17" s="357">
        <v>750</v>
      </c>
      <c r="E17" s="358">
        <f t="shared" si="0"/>
        <v>600</v>
      </c>
      <c r="F17" s="354">
        <f t="shared" si="2"/>
        <v>875</v>
      </c>
      <c r="G17" s="360">
        <f t="shared" si="0"/>
        <v>700</v>
      </c>
      <c r="H17" s="366">
        <f t="shared" si="1"/>
        <v>125</v>
      </c>
      <c r="I17" s="358">
        <f t="shared" si="1"/>
        <v>100</v>
      </c>
      <c r="J17" s="362">
        <f t="shared" si="3"/>
        <v>750</v>
      </c>
      <c r="K17" s="358">
        <f t="shared" si="4"/>
        <v>875</v>
      </c>
    </row>
    <row r="18" spans="1:11" ht="22.5" customHeight="1">
      <c r="A18" s="48"/>
      <c r="B18" s="239" t="s">
        <v>111</v>
      </c>
      <c r="C18" s="351">
        <f>15+1</f>
        <v>16</v>
      </c>
      <c r="D18" s="357">
        <v>825</v>
      </c>
      <c r="E18" s="358">
        <f t="shared" si="0"/>
        <v>660</v>
      </c>
      <c r="F18" s="354">
        <f t="shared" si="2"/>
        <v>950</v>
      </c>
      <c r="G18" s="360">
        <f t="shared" si="0"/>
        <v>760</v>
      </c>
      <c r="H18" s="366">
        <f t="shared" si="1"/>
        <v>125</v>
      </c>
      <c r="I18" s="358">
        <f t="shared" si="1"/>
        <v>100</v>
      </c>
      <c r="J18" s="362">
        <f t="shared" si="3"/>
        <v>13200</v>
      </c>
      <c r="K18" s="358">
        <f t="shared" si="4"/>
        <v>15200</v>
      </c>
    </row>
    <row r="19" spans="1:11" ht="24" customHeight="1">
      <c r="A19" s="48"/>
      <c r="B19" s="239" t="s">
        <v>11</v>
      </c>
      <c r="C19" s="351">
        <v>1</v>
      </c>
      <c r="D19" s="357">
        <v>580</v>
      </c>
      <c r="E19" s="358">
        <f t="shared" si="0"/>
        <v>464</v>
      </c>
      <c r="F19" s="354">
        <f t="shared" si="2"/>
        <v>705</v>
      </c>
      <c r="G19" s="360">
        <f t="shared" si="0"/>
        <v>564</v>
      </c>
      <c r="H19" s="366">
        <f t="shared" si="1"/>
        <v>125</v>
      </c>
      <c r="I19" s="358">
        <f t="shared" si="1"/>
        <v>100</v>
      </c>
      <c r="J19" s="362">
        <f t="shared" si="3"/>
        <v>580</v>
      </c>
      <c r="K19" s="358">
        <f t="shared" si="4"/>
        <v>705</v>
      </c>
    </row>
    <row r="20" spans="1:11" ht="21.75" customHeight="1">
      <c r="A20" s="48"/>
      <c r="B20" s="239" t="s">
        <v>112</v>
      </c>
      <c r="C20" s="351">
        <v>1</v>
      </c>
      <c r="D20" s="357">
        <v>580</v>
      </c>
      <c r="E20" s="358">
        <f t="shared" si="0"/>
        <v>464</v>
      </c>
      <c r="F20" s="354">
        <f t="shared" si="2"/>
        <v>705</v>
      </c>
      <c r="G20" s="360">
        <f t="shared" si="0"/>
        <v>564</v>
      </c>
      <c r="H20" s="366">
        <f t="shared" si="1"/>
        <v>125</v>
      </c>
      <c r="I20" s="358">
        <f t="shared" si="1"/>
        <v>100</v>
      </c>
      <c r="J20" s="362">
        <f t="shared" si="3"/>
        <v>580</v>
      </c>
      <c r="K20" s="358">
        <f t="shared" si="4"/>
        <v>705</v>
      </c>
    </row>
    <row r="21" spans="1:11" ht="18" customHeight="1" thickBot="1">
      <c r="A21" s="48"/>
      <c r="B21" s="239" t="s">
        <v>344</v>
      </c>
      <c r="C21" s="351">
        <v>1</v>
      </c>
      <c r="D21" s="357"/>
      <c r="E21" s="358"/>
      <c r="F21" s="354">
        <v>850</v>
      </c>
      <c r="G21" s="360">
        <f t="shared" si="0"/>
        <v>680</v>
      </c>
      <c r="H21" s="366">
        <f t="shared" ref="H21:I21" si="5">F21-D21</f>
        <v>850</v>
      </c>
      <c r="I21" s="358">
        <f t="shared" si="5"/>
        <v>680</v>
      </c>
      <c r="J21" s="362">
        <f t="shared" si="3"/>
        <v>0</v>
      </c>
      <c r="K21" s="358">
        <f t="shared" si="4"/>
        <v>850</v>
      </c>
    </row>
    <row r="22" spans="1:11" ht="18" customHeight="1" thickBot="1">
      <c r="A22" s="764">
        <v>1</v>
      </c>
      <c r="B22" s="420" t="s">
        <v>288</v>
      </c>
      <c r="C22" s="422">
        <f>SUM(C24:C36)-C26</f>
        <v>41</v>
      </c>
      <c r="D22" s="423">
        <v>245</v>
      </c>
      <c r="E22" s="423"/>
      <c r="F22" s="424">
        <v>245</v>
      </c>
      <c r="G22" s="425"/>
      <c r="H22" s="425"/>
      <c r="I22" s="425"/>
      <c r="J22" s="426">
        <f>SUM(J24:J36)</f>
        <v>28915</v>
      </c>
      <c r="K22" s="427">
        <f>SUM(K24:K36)</f>
        <v>40090</v>
      </c>
    </row>
    <row r="23" spans="1:11" ht="18" customHeight="1" thickBot="1">
      <c r="A23" s="765"/>
      <c r="B23" s="421" t="s">
        <v>113</v>
      </c>
      <c r="C23" s="766">
        <v>245</v>
      </c>
      <c r="D23" s="767"/>
      <c r="E23" s="767"/>
      <c r="F23" s="767"/>
      <c r="G23" s="767"/>
      <c r="H23" s="767"/>
      <c r="I23" s="767"/>
      <c r="J23" s="767"/>
      <c r="K23" s="768"/>
    </row>
    <row r="24" spans="1:11" ht="18" customHeight="1">
      <c r="A24" s="48"/>
      <c r="B24" s="314" t="s">
        <v>7</v>
      </c>
      <c r="C24" s="319">
        <v>1</v>
      </c>
      <c r="D24" s="309">
        <v>990</v>
      </c>
      <c r="E24" s="324">
        <f>D24-D24*0.2</f>
        <v>792</v>
      </c>
      <c r="F24" s="325">
        <f>D24+200</f>
        <v>1190</v>
      </c>
      <c r="G24" s="324">
        <f>F24-F24*0.2</f>
        <v>952</v>
      </c>
      <c r="H24" s="325">
        <f>F24-D24</f>
        <v>200</v>
      </c>
      <c r="I24" s="324">
        <f>G24-E24</f>
        <v>160</v>
      </c>
      <c r="J24" s="326">
        <f>D24*C24</f>
        <v>990</v>
      </c>
      <c r="K24" s="327">
        <f>F24*C24</f>
        <v>1190</v>
      </c>
    </row>
    <row r="25" spans="1:11" ht="18" customHeight="1">
      <c r="A25" s="48"/>
      <c r="B25" s="315" t="s">
        <v>4</v>
      </c>
      <c r="C25" s="320">
        <v>1</v>
      </c>
      <c r="D25" s="310">
        <v>850</v>
      </c>
      <c r="E25" s="328">
        <f t="shared" ref="E25:G36" si="6">D25-D25*0.2</f>
        <v>680</v>
      </c>
      <c r="F25" s="329">
        <f>D25+200</f>
        <v>1050</v>
      </c>
      <c r="G25" s="328">
        <f t="shared" si="6"/>
        <v>840</v>
      </c>
      <c r="H25" s="330">
        <f t="shared" ref="H25:I36" si="7">F25-D25</f>
        <v>200</v>
      </c>
      <c r="I25" s="331">
        <f t="shared" si="7"/>
        <v>160</v>
      </c>
      <c r="J25" s="332">
        <f t="shared" ref="J25:J36" si="8">D25*C25</f>
        <v>850</v>
      </c>
      <c r="K25" s="333">
        <f t="shared" ref="K25:K36" si="9">F25*C25</f>
        <v>1050</v>
      </c>
    </row>
    <row r="26" spans="1:11" ht="18" customHeight="1">
      <c r="A26" s="48"/>
      <c r="B26" s="316" t="s">
        <v>362</v>
      </c>
      <c r="C26" s="321">
        <v>10.5</v>
      </c>
      <c r="D26" s="389">
        <v>850</v>
      </c>
      <c r="E26" s="390">
        <f t="shared" si="6"/>
        <v>680</v>
      </c>
      <c r="F26" s="329"/>
      <c r="G26" s="328">
        <f t="shared" si="6"/>
        <v>0</v>
      </c>
      <c r="H26" s="391">
        <f>F26-D26</f>
        <v>-850</v>
      </c>
      <c r="I26" s="392">
        <f>G26-E26</f>
        <v>-680</v>
      </c>
      <c r="J26" s="332">
        <f>D26*C26</f>
        <v>8925</v>
      </c>
      <c r="K26" s="333">
        <f t="shared" si="9"/>
        <v>0</v>
      </c>
    </row>
    <row r="27" spans="1:11" ht="18" customHeight="1">
      <c r="A27" s="48"/>
      <c r="B27" s="346" t="s">
        <v>361</v>
      </c>
      <c r="C27" s="347">
        <v>7</v>
      </c>
      <c r="D27" s="348">
        <v>850</v>
      </c>
      <c r="E27" s="334">
        <f t="shared" si="6"/>
        <v>680</v>
      </c>
      <c r="F27" s="335">
        <v>1050</v>
      </c>
      <c r="G27" s="334">
        <f t="shared" si="6"/>
        <v>840</v>
      </c>
      <c r="H27" s="336">
        <f t="shared" ref="H27:I28" si="10">F27-D27</f>
        <v>200</v>
      </c>
      <c r="I27" s="337">
        <f t="shared" si="10"/>
        <v>160</v>
      </c>
      <c r="J27" s="338"/>
      <c r="K27" s="339">
        <f t="shared" si="9"/>
        <v>7350</v>
      </c>
    </row>
    <row r="28" spans="1:11" ht="18" customHeight="1">
      <c r="A28" s="48"/>
      <c r="B28" s="346" t="s">
        <v>360</v>
      </c>
      <c r="C28" s="347">
        <v>7</v>
      </c>
      <c r="D28" s="348">
        <v>425</v>
      </c>
      <c r="E28" s="334">
        <f t="shared" si="6"/>
        <v>340</v>
      </c>
      <c r="F28" s="335">
        <v>1050</v>
      </c>
      <c r="G28" s="334">
        <f t="shared" si="6"/>
        <v>840</v>
      </c>
      <c r="H28" s="336">
        <f t="shared" si="10"/>
        <v>625</v>
      </c>
      <c r="I28" s="337">
        <f t="shared" si="10"/>
        <v>500</v>
      </c>
      <c r="J28" s="338"/>
      <c r="K28" s="339">
        <f t="shared" si="9"/>
        <v>7350</v>
      </c>
    </row>
    <row r="29" spans="1:11" ht="18" customHeight="1">
      <c r="A29" s="48"/>
      <c r="B29" s="317" t="s">
        <v>289</v>
      </c>
      <c r="C29" s="321">
        <f>3+3</f>
        <v>6</v>
      </c>
      <c r="D29" s="311">
        <v>770</v>
      </c>
      <c r="E29" s="328">
        <f t="shared" si="6"/>
        <v>616</v>
      </c>
      <c r="F29" s="329">
        <f>D29+200</f>
        <v>970</v>
      </c>
      <c r="G29" s="328">
        <f t="shared" si="6"/>
        <v>776</v>
      </c>
      <c r="H29" s="330">
        <f t="shared" si="7"/>
        <v>200</v>
      </c>
      <c r="I29" s="331">
        <f t="shared" si="7"/>
        <v>160</v>
      </c>
      <c r="J29" s="332">
        <f t="shared" si="8"/>
        <v>4620</v>
      </c>
      <c r="K29" s="333">
        <f t="shared" si="9"/>
        <v>5820</v>
      </c>
    </row>
    <row r="30" spans="1:11" ht="18" customHeight="1">
      <c r="A30" s="48"/>
      <c r="B30" s="316" t="s">
        <v>8</v>
      </c>
      <c r="C30" s="321">
        <v>1</v>
      </c>
      <c r="D30" s="311">
        <v>790</v>
      </c>
      <c r="E30" s="328">
        <f t="shared" si="6"/>
        <v>632</v>
      </c>
      <c r="F30" s="329">
        <f t="shared" ref="F30:F36" si="11">D30+200</f>
        <v>990</v>
      </c>
      <c r="G30" s="328">
        <f t="shared" si="6"/>
        <v>792</v>
      </c>
      <c r="H30" s="330">
        <f t="shared" si="7"/>
        <v>200</v>
      </c>
      <c r="I30" s="331">
        <f t="shared" si="7"/>
        <v>160</v>
      </c>
      <c r="J30" s="332">
        <f t="shared" si="8"/>
        <v>790</v>
      </c>
      <c r="K30" s="333">
        <f t="shared" si="9"/>
        <v>990</v>
      </c>
    </row>
    <row r="31" spans="1:11" ht="18" customHeight="1">
      <c r="A31" s="48"/>
      <c r="B31" s="316" t="s">
        <v>123</v>
      </c>
      <c r="C31" s="321">
        <v>1</v>
      </c>
      <c r="D31" s="311">
        <v>720</v>
      </c>
      <c r="E31" s="328">
        <f t="shared" si="6"/>
        <v>576</v>
      </c>
      <c r="F31" s="329">
        <f t="shared" si="11"/>
        <v>920</v>
      </c>
      <c r="G31" s="328">
        <f t="shared" si="6"/>
        <v>736</v>
      </c>
      <c r="H31" s="330">
        <f t="shared" si="7"/>
        <v>200</v>
      </c>
      <c r="I31" s="331">
        <f t="shared" si="7"/>
        <v>160</v>
      </c>
      <c r="J31" s="332">
        <f t="shared" si="8"/>
        <v>720</v>
      </c>
      <c r="K31" s="333">
        <f t="shared" si="9"/>
        <v>920</v>
      </c>
    </row>
    <row r="32" spans="1:11" ht="18" customHeight="1">
      <c r="A32" s="48"/>
      <c r="B32" s="316" t="s">
        <v>9</v>
      </c>
      <c r="C32" s="321">
        <f>3+1</f>
        <v>4</v>
      </c>
      <c r="D32" s="311">
        <v>720</v>
      </c>
      <c r="E32" s="328">
        <f t="shared" si="6"/>
        <v>576</v>
      </c>
      <c r="F32" s="329">
        <f t="shared" si="11"/>
        <v>920</v>
      </c>
      <c r="G32" s="328">
        <f t="shared" si="6"/>
        <v>736</v>
      </c>
      <c r="H32" s="330">
        <f t="shared" si="7"/>
        <v>200</v>
      </c>
      <c r="I32" s="331">
        <f t="shared" si="7"/>
        <v>160</v>
      </c>
      <c r="J32" s="332">
        <f>D32*C32</f>
        <v>2880</v>
      </c>
      <c r="K32" s="333">
        <f t="shared" si="9"/>
        <v>3680</v>
      </c>
    </row>
    <row r="33" spans="1:11" ht="18" customHeight="1">
      <c r="A33" s="48"/>
      <c r="B33" s="316" t="s">
        <v>121</v>
      </c>
      <c r="C33" s="321">
        <f>5+2</f>
        <v>7</v>
      </c>
      <c r="D33" s="311">
        <v>790</v>
      </c>
      <c r="E33" s="328">
        <f t="shared" si="6"/>
        <v>632</v>
      </c>
      <c r="F33" s="329">
        <f t="shared" si="11"/>
        <v>990</v>
      </c>
      <c r="G33" s="328">
        <f t="shared" si="6"/>
        <v>792</v>
      </c>
      <c r="H33" s="330">
        <f t="shared" si="7"/>
        <v>200</v>
      </c>
      <c r="I33" s="331">
        <f t="shared" si="7"/>
        <v>160</v>
      </c>
      <c r="J33" s="332">
        <f t="shared" si="8"/>
        <v>5530</v>
      </c>
      <c r="K33" s="333">
        <f t="shared" si="9"/>
        <v>6930</v>
      </c>
    </row>
    <row r="34" spans="1:11" ht="27.75" customHeight="1">
      <c r="A34" s="48"/>
      <c r="B34" s="318" t="s">
        <v>10</v>
      </c>
      <c r="C34" s="322">
        <v>1</v>
      </c>
      <c r="D34" s="312">
        <v>600</v>
      </c>
      <c r="E34" s="334">
        <f t="shared" si="6"/>
        <v>480</v>
      </c>
      <c r="F34" s="335">
        <f t="shared" si="11"/>
        <v>800</v>
      </c>
      <c r="G34" s="334">
        <f t="shared" si="6"/>
        <v>640</v>
      </c>
      <c r="H34" s="336">
        <f t="shared" si="7"/>
        <v>200</v>
      </c>
      <c r="I34" s="337">
        <f t="shared" si="7"/>
        <v>160</v>
      </c>
      <c r="J34" s="338">
        <f t="shared" si="8"/>
        <v>600</v>
      </c>
      <c r="K34" s="339">
        <f t="shared" si="9"/>
        <v>800</v>
      </c>
    </row>
    <row r="35" spans="1:11" ht="24" customHeight="1">
      <c r="A35" s="48"/>
      <c r="B35" s="318" t="s">
        <v>122</v>
      </c>
      <c r="C35" s="322">
        <v>1</v>
      </c>
      <c r="D35" s="312">
        <v>690</v>
      </c>
      <c r="E35" s="334">
        <f t="shared" si="6"/>
        <v>552</v>
      </c>
      <c r="F35" s="335">
        <f t="shared" si="11"/>
        <v>890</v>
      </c>
      <c r="G35" s="334">
        <f t="shared" si="6"/>
        <v>712</v>
      </c>
      <c r="H35" s="336">
        <f t="shared" si="7"/>
        <v>200</v>
      </c>
      <c r="I35" s="337">
        <f t="shared" si="7"/>
        <v>160</v>
      </c>
      <c r="J35" s="338">
        <f t="shared" si="8"/>
        <v>690</v>
      </c>
      <c r="K35" s="339">
        <f t="shared" si="9"/>
        <v>890</v>
      </c>
    </row>
    <row r="36" spans="1:11" ht="15.75" thickBot="1">
      <c r="A36" s="48"/>
      <c r="B36" s="318" t="s">
        <v>11</v>
      </c>
      <c r="C36" s="323">
        <f>1+3</f>
        <v>4</v>
      </c>
      <c r="D36" s="313">
        <v>580</v>
      </c>
      <c r="E36" s="340">
        <f t="shared" si="6"/>
        <v>464</v>
      </c>
      <c r="F36" s="341">
        <f t="shared" si="11"/>
        <v>780</v>
      </c>
      <c r="G36" s="340">
        <f t="shared" si="6"/>
        <v>624</v>
      </c>
      <c r="H36" s="342">
        <f t="shared" si="7"/>
        <v>200</v>
      </c>
      <c r="I36" s="343">
        <f t="shared" si="7"/>
        <v>160</v>
      </c>
      <c r="J36" s="344">
        <f t="shared" si="8"/>
        <v>2320</v>
      </c>
      <c r="K36" s="345">
        <f t="shared" si="9"/>
        <v>3120</v>
      </c>
    </row>
    <row r="37" spans="1:11" ht="16.5" thickBot="1">
      <c r="A37" s="764">
        <v>2</v>
      </c>
      <c r="B37" s="420" t="s">
        <v>290</v>
      </c>
      <c r="C37" s="422">
        <f>SUM(C39:C51)-C41</f>
        <v>32</v>
      </c>
      <c r="D37" s="423">
        <v>210</v>
      </c>
      <c r="E37" s="423"/>
      <c r="F37" s="424">
        <v>210</v>
      </c>
      <c r="G37" s="425"/>
      <c r="H37" s="425"/>
      <c r="I37" s="425"/>
      <c r="J37" s="426">
        <f>SUM(J39:J51)</f>
        <v>22850</v>
      </c>
      <c r="K37" s="426">
        <f>SUM(K39:K51)</f>
        <v>31800</v>
      </c>
    </row>
    <row r="38" spans="1:11" ht="19.5" customHeight="1" thickBot="1">
      <c r="A38" s="765"/>
      <c r="B38" s="421" t="s">
        <v>114</v>
      </c>
      <c r="C38" s="769">
        <v>210</v>
      </c>
      <c r="D38" s="770"/>
      <c r="E38" s="770"/>
      <c r="F38" s="770"/>
      <c r="G38" s="770"/>
      <c r="H38" s="770"/>
      <c r="I38" s="770"/>
      <c r="J38" s="770"/>
      <c r="K38" s="771"/>
    </row>
    <row r="39" spans="1:11" ht="18" customHeight="1">
      <c r="A39" s="48"/>
      <c r="B39" s="314" t="s">
        <v>7</v>
      </c>
      <c r="C39" s="319">
        <v>1</v>
      </c>
      <c r="D39" s="309">
        <v>990</v>
      </c>
      <c r="E39" s="324">
        <f t="shared" ref="E39:E51" si="12">D39-D39*0.2</f>
        <v>792</v>
      </c>
      <c r="F39" s="329">
        <f>D39+200</f>
        <v>1190</v>
      </c>
      <c r="G39" s="328">
        <f t="shared" ref="G39:G51" si="13">F39-F39*0.2</f>
        <v>952</v>
      </c>
      <c r="H39" s="325">
        <f>F39-D39</f>
        <v>200</v>
      </c>
      <c r="I39" s="324">
        <f>G39-E39</f>
        <v>160</v>
      </c>
      <c r="J39" s="332">
        <f>D39*C39</f>
        <v>990</v>
      </c>
      <c r="K39" s="333">
        <f>F39*C39</f>
        <v>1190</v>
      </c>
    </row>
    <row r="40" spans="1:11" ht="18" customHeight="1">
      <c r="A40" s="48"/>
      <c r="B40" s="315" t="s">
        <v>4</v>
      </c>
      <c r="C40" s="320">
        <v>1</v>
      </c>
      <c r="D40" s="310">
        <v>850</v>
      </c>
      <c r="E40" s="328">
        <f t="shared" si="12"/>
        <v>680</v>
      </c>
      <c r="F40" s="329">
        <f>D40+200</f>
        <v>1050</v>
      </c>
      <c r="G40" s="328">
        <f t="shared" si="13"/>
        <v>840</v>
      </c>
      <c r="H40" s="330">
        <f t="shared" ref="H40:I51" si="14">F40-D40</f>
        <v>200</v>
      </c>
      <c r="I40" s="331">
        <f t="shared" si="14"/>
        <v>160</v>
      </c>
      <c r="J40" s="332">
        <f t="shared" ref="J40:J51" si="15">D40*C40</f>
        <v>850</v>
      </c>
      <c r="K40" s="333">
        <f t="shared" ref="K40:K51" si="16">F40*C40</f>
        <v>1050</v>
      </c>
    </row>
    <row r="41" spans="1:11">
      <c r="A41" s="48"/>
      <c r="B41" s="316" t="s">
        <v>362</v>
      </c>
      <c r="C41" s="320">
        <v>9</v>
      </c>
      <c r="D41" s="393">
        <v>850</v>
      </c>
      <c r="E41" s="394">
        <f t="shared" si="12"/>
        <v>680</v>
      </c>
      <c r="F41" s="329"/>
      <c r="G41" s="328">
        <f t="shared" si="13"/>
        <v>0</v>
      </c>
      <c r="H41" s="391">
        <f t="shared" si="14"/>
        <v>-850</v>
      </c>
      <c r="I41" s="392">
        <f t="shared" si="14"/>
        <v>-680</v>
      </c>
      <c r="J41" s="332">
        <f t="shared" si="15"/>
        <v>7650</v>
      </c>
      <c r="K41" s="333">
        <f t="shared" si="16"/>
        <v>0</v>
      </c>
    </row>
    <row r="42" spans="1:11" ht="25.5">
      <c r="A42" s="48"/>
      <c r="B42" s="346" t="s">
        <v>361</v>
      </c>
      <c r="C42" s="347">
        <v>6</v>
      </c>
      <c r="D42" s="348">
        <v>850</v>
      </c>
      <c r="E42" s="334">
        <f t="shared" si="12"/>
        <v>680</v>
      </c>
      <c r="F42" s="335">
        <v>1050</v>
      </c>
      <c r="G42" s="334">
        <f t="shared" si="13"/>
        <v>840</v>
      </c>
      <c r="H42" s="336">
        <f t="shared" si="14"/>
        <v>200</v>
      </c>
      <c r="I42" s="337">
        <f t="shared" si="14"/>
        <v>160</v>
      </c>
      <c r="J42" s="338"/>
      <c r="K42" s="339">
        <f t="shared" si="16"/>
        <v>6300</v>
      </c>
    </row>
    <row r="43" spans="1:11">
      <c r="A43" s="48"/>
      <c r="B43" s="346" t="s">
        <v>360</v>
      </c>
      <c r="C43" s="347">
        <v>6</v>
      </c>
      <c r="D43" s="348">
        <v>425</v>
      </c>
      <c r="E43" s="334">
        <f t="shared" si="12"/>
        <v>340</v>
      </c>
      <c r="F43" s="335">
        <v>1050</v>
      </c>
      <c r="G43" s="334">
        <f t="shared" si="13"/>
        <v>840</v>
      </c>
      <c r="H43" s="336">
        <f t="shared" si="14"/>
        <v>625</v>
      </c>
      <c r="I43" s="337">
        <f t="shared" si="14"/>
        <v>500</v>
      </c>
      <c r="J43" s="338"/>
      <c r="K43" s="339">
        <f t="shared" si="16"/>
        <v>6300</v>
      </c>
    </row>
    <row r="44" spans="1:11">
      <c r="A44" s="48"/>
      <c r="B44" s="387" t="s">
        <v>289</v>
      </c>
      <c r="C44" s="320">
        <f>2+2</f>
        <v>4</v>
      </c>
      <c r="D44" s="310">
        <v>770</v>
      </c>
      <c r="E44" s="328">
        <f t="shared" si="12"/>
        <v>616</v>
      </c>
      <c r="F44" s="329">
        <f t="shared" ref="F44:F51" si="17">D44+200</f>
        <v>970</v>
      </c>
      <c r="G44" s="328">
        <f t="shared" si="13"/>
        <v>776</v>
      </c>
      <c r="H44" s="330">
        <f t="shared" si="14"/>
        <v>200</v>
      </c>
      <c r="I44" s="331">
        <f t="shared" si="14"/>
        <v>160</v>
      </c>
      <c r="J44" s="332">
        <f t="shared" si="15"/>
        <v>3080</v>
      </c>
      <c r="K44" s="333">
        <f t="shared" si="16"/>
        <v>3880</v>
      </c>
    </row>
    <row r="45" spans="1:11">
      <c r="A45" s="48"/>
      <c r="B45" s="315" t="s">
        <v>8</v>
      </c>
      <c r="C45" s="320">
        <v>1</v>
      </c>
      <c r="D45" s="310">
        <v>790</v>
      </c>
      <c r="E45" s="328">
        <f t="shared" si="12"/>
        <v>632</v>
      </c>
      <c r="F45" s="329">
        <f t="shared" si="17"/>
        <v>990</v>
      </c>
      <c r="G45" s="328">
        <f t="shared" si="13"/>
        <v>792</v>
      </c>
      <c r="H45" s="330">
        <f t="shared" si="14"/>
        <v>200</v>
      </c>
      <c r="I45" s="331">
        <f t="shared" si="14"/>
        <v>160</v>
      </c>
      <c r="J45" s="332">
        <f t="shared" si="15"/>
        <v>790</v>
      </c>
      <c r="K45" s="333">
        <f t="shared" si="16"/>
        <v>990</v>
      </c>
    </row>
    <row r="46" spans="1:11">
      <c r="A46" s="48"/>
      <c r="B46" s="315" t="s">
        <v>9</v>
      </c>
      <c r="C46" s="320">
        <v>3</v>
      </c>
      <c r="D46" s="310">
        <v>720</v>
      </c>
      <c r="E46" s="328">
        <f t="shared" si="12"/>
        <v>576</v>
      </c>
      <c r="F46" s="329">
        <f t="shared" si="17"/>
        <v>920</v>
      </c>
      <c r="G46" s="328">
        <f t="shared" si="13"/>
        <v>736</v>
      </c>
      <c r="H46" s="330">
        <f t="shared" si="14"/>
        <v>200</v>
      </c>
      <c r="I46" s="331">
        <f t="shared" si="14"/>
        <v>160</v>
      </c>
      <c r="J46" s="332">
        <f t="shared" si="15"/>
        <v>2160</v>
      </c>
      <c r="K46" s="333">
        <f t="shared" si="16"/>
        <v>2760</v>
      </c>
    </row>
    <row r="47" spans="1:11">
      <c r="A47" s="48"/>
      <c r="B47" s="315" t="s">
        <v>123</v>
      </c>
      <c r="C47" s="320">
        <v>1</v>
      </c>
      <c r="D47" s="310">
        <v>720</v>
      </c>
      <c r="E47" s="328">
        <f t="shared" si="12"/>
        <v>576</v>
      </c>
      <c r="F47" s="329">
        <f t="shared" si="17"/>
        <v>920</v>
      </c>
      <c r="G47" s="328">
        <f t="shared" si="13"/>
        <v>736</v>
      </c>
      <c r="H47" s="330">
        <f t="shared" si="14"/>
        <v>200</v>
      </c>
      <c r="I47" s="331">
        <f t="shared" si="14"/>
        <v>160</v>
      </c>
      <c r="J47" s="332">
        <f t="shared" si="15"/>
        <v>720</v>
      </c>
      <c r="K47" s="333">
        <f t="shared" si="16"/>
        <v>920</v>
      </c>
    </row>
    <row r="48" spans="1:11">
      <c r="A48" s="48"/>
      <c r="B48" s="315" t="s">
        <v>121</v>
      </c>
      <c r="C48" s="320">
        <v>6</v>
      </c>
      <c r="D48" s="310">
        <v>790</v>
      </c>
      <c r="E48" s="328">
        <f t="shared" si="12"/>
        <v>632</v>
      </c>
      <c r="F48" s="329">
        <f t="shared" si="17"/>
        <v>990</v>
      </c>
      <c r="G48" s="328">
        <f t="shared" si="13"/>
        <v>792</v>
      </c>
      <c r="H48" s="330">
        <f t="shared" si="14"/>
        <v>200</v>
      </c>
      <c r="I48" s="331">
        <f t="shared" si="14"/>
        <v>160</v>
      </c>
      <c r="J48" s="332">
        <f t="shared" si="15"/>
        <v>4740</v>
      </c>
      <c r="K48" s="333">
        <f t="shared" si="16"/>
        <v>5940</v>
      </c>
    </row>
    <row r="49" spans="1:11" ht="18.95" customHeight="1">
      <c r="A49" s="48"/>
      <c r="B49" s="318" t="s">
        <v>10</v>
      </c>
      <c r="C49" s="322">
        <v>1</v>
      </c>
      <c r="D49" s="312">
        <v>600</v>
      </c>
      <c r="E49" s="334">
        <f t="shared" si="12"/>
        <v>480</v>
      </c>
      <c r="F49" s="335">
        <f t="shared" si="17"/>
        <v>800</v>
      </c>
      <c r="G49" s="334">
        <f t="shared" si="13"/>
        <v>640</v>
      </c>
      <c r="H49" s="336">
        <f t="shared" si="14"/>
        <v>200</v>
      </c>
      <c r="I49" s="337">
        <f t="shared" si="14"/>
        <v>160</v>
      </c>
      <c r="J49" s="338">
        <f t="shared" si="15"/>
        <v>600</v>
      </c>
      <c r="K49" s="339">
        <f t="shared" si="16"/>
        <v>800</v>
      </c>
    </row>
    <row r="50" spans="1:11" ht="18.95" customHeight="1">
      <c r="A50" s="48"/>
      <c r="B50" s="318" t="s">
        <v>122</v>
      </c>
      <c r="C50" s="322">
        <v>1</v>
      </c>
      <c r="D50" s="312">
        <v>690</v>
      </c>
      <c r="E50" s="334">
        <f t="shared" si="12"/>
        <v>552</v>
      </c>
      <c r="F50" s="335">
        <f t="shared" si="17"/>
        <v>890</v>
      </c>
      <c r="G50" s="334">
        <f t="shared" si="13"/>
        <v>712</v>
      </c>
      <c r="H50" s="336">
        <f t="shared" si="14"/>
        <v>200</v>
      </c>
      <c r="I50" s="337">
        <f t="shared" si="14"/>
        <v>160</v>
      </c>
      <c r="J50" s="338">
        <f t="shared" si="15"/>
        <v>690</v>
      </c>
      <c r="K50" s="339">
        <f t="shared" si="16"/>
        <v>890</v>
      </c>
    </row>
    <row r="51" spans="1:11" ht="18" customHeight="1" thickBot="1">
      <c r="A51" s="48"/>
      <c r="B51" s="388" t="s">
        <v>11</v>
      </c>
      <c r="C51" s="323">
        <v>1</v>
      </c>
      <c r="D51" s="313">
        <v>580</v>
      </c>
      <c r="E51" s="340">
        <f t="shared" si="12"/>
        <v>464</v>
      </c>
      <c r="F51" s="335">
        <f t="shared" si="17"/>
        <v>780</v>
      </c>
      <c r="G51" s="334">
        <f t="shared" si="13"/>
        <v>624</v>
      </c>
      <c r="H51" s="336">
        <f t="shared" si="14"/>
        <v>200</v>
      </c>
      <c r="I51" s="337">
        <f t="shared" si="14"/>
        <v>160</v>
      </c>
      <c r="J51" s="338">
        <f t="shared" si="15"/>
        <v>580</v>
      </c>
      <c r="K51" s="339">
        <f t="shared" si="16"/>
        <v>780</v>
      </c>
    </row>
    <row r="52" spans="1:11" ht="18" customHeight="1" thickBot="1">
      <c r="A52" s="764">
        <v>3</v>
      </c>
      <c r="B52" s="420" t="s">
        <v>291</v>
      </c>
      <c r="C52" s="422">
        <f>SUM(C54:C66)-C56</f>
        <v>29</v>
      </c>
      <c r="D52" s="423">
        <v>175</v>
      </c>
      <c r="E52" s="423"/>
      <c r="F52" s="424">
        <v>175</v>
      </c>
      <c r="G52" s="425"/>
      <c r="H52" s="425"/>
      <c r="I52" s="425"/>
      <c r="J52" s="426">
        <f>SUM(J54:J66)</f>
        <v>20835</v>
      </c>
      <c r="K52" s="426">
        <f>SUM(K54:K66)</f>
        <v>28760</v>
      </c>
    </row>
    <row r="53" spans="1:11" ht="18" customHeight="1" thickBot="1">
      <c r="A53" s="765"/>
      <c r="B53" s="421" t="s">
        <v>115</v>
      </c>
      <c r="C53" s="772">
        <v>175</v>
      </c>
      <c r="D53" s="773"/>
      <c r="E53" s="773"/>
      <c r="F53" s="773"/>
      <c r="G53" s="773"/>
      <c r="H53" s="773"/>
      <c r="I53" s="773"/>
      <c r="J53" s="773"/>
      <c r="K53" s="774"/>
    </row>
    <row r="54" spans="1:11" ht="18" customHeight="1">
      <c r="A54" s="48"/>
      <c r="B54" s="314" t="s">
        <v>7</v>
      </c>
      <c r="C54" s="319">
        <v>1</v>
      </c>
      <c r="D54" s="371">
        <v>990</v>
      </c>
      <c r="E54" s="324">
        <f t="shared" ref="E54:E66" si="18">D54-D54*0.2</f>
        <v>792</v>
      </c>
      <c r="F54" s="329">
        <f t="shared" ref="F54:F62" si="19">D54+200</f>
        <v>1190</v>
      </c>
      <c r="G54" s="328">
        <f t="shared" ref="G54:G66" si="20">F54-F54*0.2</f>
        <v>952</v>
      </c>
      <c r="H54" s="325">
        <f>F54-D54</f>
        <v>200</v>
      </c>
      <c r="I54" s="324">
        <f>G54-E54</f>
        <v>160</v>
      </c>
      <c r="J54" s="332">
        <f>D54*C54</f>
        <v>990</v>
      </c>
      <c r="K54" s="333">
        <f t="shared" ref="K54:K66" si="21">F54*C54</f>
        <v>1190</v>
      </c>
    </row>
    <row r="55" spans="1:11" ht="18" customHeight="1">
      <c r="A55" s="48"/>
      <c r="B55" s="315" t="s">
        <v>4</v>
      </c>
      <c r="C55" s="320">
        <v>1</v>
      </c>
      <c r="D55" s="372">
        <v>850</v>
      </c>
      <c r="E55" s="328">
        <f t="shared" si="18"/>
        <v>680</v>
      </c>
      <c r="F55" s="329">
        <f t="shared" si="19"/>
        <v>1050</v>
      </c>
      <c r="G55" s="328">
        <f t="shared" si="20"/>
        <v>840</v>
      </c>
      <c r="H55" s="330">
        <f t="shared" ref="H55:I66" si="22">F55-D55</f>
        <v>200</v>
      </c>
      <c r="I55" s="331">
        <f t="shared" si="22"/>
        <v>160</v>
      </c>
      <c r="J55" s="332">
        <f t="shared" ref="J55:J66" si="23">D55*C55</f>
        <v>850</v>
      </c>
      <c r="K55" s="333">
        <f t="shared" si="21"/>
        <v>1050</v>
      </c>
    </row>
    <row r="56" spans="1:11" ht="18" customHeight="1">
      <c r="A56" s="48"/>
      <c r="B56" s="315" t="s">
        <v>120</v>
      </c>
      <c r="C56" s="320">
        <v>7.5</v>
      </c>
      <c r="D56" s="395">
        <v>850</v>
      </c>
      <c r="E56" s="394">
        <f t="shared" si="18"/>
        <v>680</v>
      </c>
      <c r="F56" s="329"/>
      <c r="G56" s="328">
        <f t="shared" si="20"/>
        <v>0</v>
      </c>
      <c r="H56" s="391">
        <f t="shared" si="22"/>
        <v>-850</v>
      </c>
      <c r="I56" s="392">
        <f t="shared" si="22"/>
        <v>-680</v>
      </c>
      <c r="J56" s="332">
        <f t="shared" si="23"/>
        <v>6375</v>
      </c>
      <c r="K56" s="333">
        <f t="shared" si="21"/>
        <v>0</v>
      </c>
    </row>
    <row r="57" spans="1:11" ht="18" customHeight="1">
      <c r="A57" s="48"/>
      <c r="B57" s="346" t="s">
        <v>361</v>
      </c>
      <c r="C57" s="347">
        <v>5</v>
      </c>
      <c r="D57" s="348">
        <v>850</v>
      </c>
      <c r="E57" s="334">
        <f t="shared" si="18"/>
        <v>680</v>
      </c>
      <c r="F57" s="335">
        <v>1050</v>
      </c>
      <c r="G57" s="334">
        <f t="shared" si="20"/>
        <v>840</v>
      </c>
      <c r="H57" s="336">
        <f t="shared" si="22"/>
        <v>200</v>
      </c>
      <c r="I57" s="337">
        <f t="shared" si="22"/>
        <v>160</v>
      </c>
      <c r="J57" s="338"/>
      <c r="K57" s="339">
        <f t="shared" si="21"/>
        <v>5250</v>
      </c>
    </row>
    <row r="58" spans="1:11" ht="18" customHeight="1">
      <c r="A58" s="48"/>
      <c r="B58" s="346" t="s">
        <v>360</v>
      </c>
      <c r="C58" s="347">
        <v>5</v>
      </c>
      <c r="D58" s="348">
        <v>425</v>
      </c>
      <c r="E58" s="334">
        <f t="shared" si="18"/>
        <v>340</v>
      </c>
      <c r="F58" s="335">
        <v>1050</v>
      </c>
      <c r="G58" s="334">
        <f t="shared" si="20"/>
        <v>840</v>
      </c>
      <c r="H58" s="336">
        <f t="shared" si="22"/>
        <v>625</v>
      </c>
      <c r="I58" s="337">
        <f t="shared" si="22"/>
        <v>500</v>
      </c>
      <c r="J58" s="338"/>
      <c r="K58" s="339">
        <f t="shared" si="21"/>
        <v>5250</v>
      </c>
    </row>
    <row r="59" spans="1:11" ht="18" customHeight="1">
      <c r="A59" s="48"/>
      <c r="B59" s="315" t="s">
        <v>289</v>
      </c>
      <c r="C59" s="320">
        <v>5</v>
      </c>
      <c r="D59" s="372">
        <v>770</v>
      </c>
      <c r="E59" s="328">
        <f t="shared" si="18"/>
        <v>616</v>
      </c>
      <c r="F59" s="329">
        <f t="shared" si="19"/>
        <v>970</v>
      </c>
      <c r="G59" s="328">
        <f t="shared" si="20"/>
        <v>776</v>
      </c>
      <c r="H59" s="330">
        <f t="shared" si="22"/>
        <v>200</v>
      </c>
      <c r="I59" s="331">
        <f t="shared" si="22"/>
        <v>160</v>
      </c>
      <c r="J59" s="332">
        <f t="shared" si="23"/>
        <v>3850</v>
      </c>
      <c r="K59" s="333">
        <f t="shared" si="21"/>
        <v>4850</v>
      </c>
    </row>
    <row r="60" spans="1:11" ht="18" customHeight="1">
      <c r="A60" s="48"/>
      <c r="B60" s="315" t="s">
        <v>8</v>
      </c>
      <c r="C60" s="320">
        <v>1</v>
      </c>
      <c r="D60" s="372">
        <v>790</v>
      </c>
      <c r="E60" s="328">
        <f t="shared" si="18"/>
        <v>632</v>
      </c>
      <c r="F60" s="329">
        <f t="shared" si="19"/>
        <v>990</v>
      </c>
      <c r="G60" s="328">
        <f t="shared" si="20"/>
        <v>792</v>
      </c>
      <c r="H60" s="330">
        <f t="shared" si="22"/>
        <v>200</v>
      </c>
      <c r="I60" s="331">
        <f t="shared" si="22"/>
        <v>160</v>
      </c>
      <c r="J60" s="332">
        <f t="shared" si="23"/>
        <v>790</v>
      </c>
      <c r="K60" s="333">
        <f t="shared" si="21"/>
        <v>990</v>
      </c>
    </row>
    <row r="61" spans="1:11" ht="18" customHeight="1">
      <c r="A61" s="48"/>
      <c r="B61" s="315" t="s">
        <v>123</v>
      </c>
      <c r="C61" s="320">
        <v>1</v>
      </c>
      <c r="D61" s="372">
        <v>720</v>
      </c>
      <c r="E61" s="328">
        <f t="shared" si="18"/>
        <v>576</v>
      </c>
      <c r="F61" s="329">
        <f t="shared" si="19"/>
        <v>920</v>
      </c>
      <c r="G61" s="328">
        <f t="shared" si="20"/>
        <v>736</v>
      </c>
      <c r="H61" s="330">
        <f t="shared" si="22"/>
        <v>200</v>
      </c>
      <c r="I61" s="331">
        <f t="shared" si="22"/>
        <v>160</v>
      </c>
      <c r="J61" s="332">
        <f t="shared" si="23"/>
        <v>720</v>
      </c>
      <c r="K61" s="333">
        <f t="shared" si="21"/>
        <v>920</v>
      </c>
    </row>
    <row r="62" spans="1:11" ht="18" customHeight="1">
      <c r="A62" s="48"/>
      <c r="B62" s="315" t="s">
        <v>9</v>
      </c>
      <c r="C62" s="320">
        <v>2</v>
      </c>
      <c r="D62" s="372">
        <v>720</v>
      </c>
      <c r="E62" s="328">
        <f t="shared" si="18"/>
        <v>576</v>
      </c>
      <c r="F62" s="329">
        <f t="shared" si="19"/>
        <v>920</v>
      </c>
      <c r="G62" s="328">
        <f t="shared" si="20"/>
        <v>736</v>
      </c>
      <c r="H62" s="330">
        <f t="shared" si="22"/>
        <v>200</v>
      </c>
      <c r="I62" s="331">
        <f t="shared" si="22"/>
        <v>160</v>
      </c>
      <c r="J62" s="332">
        <f t="shared" si="23"/>
        <v>1440</v>
      </c>
      <c r="K62" s="333">
        <f t="shared" si="21"/>
        <v>1840</v>
      </c>
    </row>
    <row r="63" spans="1:11" ht="18" customHeight="1">
      <c r="A63" s="48"/>
      <c r="B63" s="315" t="s">
        <v>121</v>
      </c>
      <c r="C63" s="320">
        <v>5</v>
      </c>
      <c r="D63" s="372">
        <v>790</v>
      </c>
      <c r="E63" s="328">
        <f t="shared" si="18"/>
        <v>632</v>
      </c>
      <c r="F63" s="329">
        <f>D63+200</f>
        <v>990</v>
      </c>
      <c r="G63" s="328">
        <f t="shared" si="20"/>
        <v>792</v>
      </c>
      <c r="H63" s="330">
        <f t="shared" si="22"/>
        <v>200</v>
      </c>
      <c r="I63" s="331">
        <f t="shared" si="22"/>
        <v>160</v>
      </c>
      <c r="J63" s="332">
        <f t="shared" si="23"/>
        <v>3950</v>
      </c>
      <c r="K63" s="333">
        <f t="shared" si="21"/>
        <v>4950</v>
      </c>
    </row>
    <row r="64" spans="1:11" ht="26.25" customHeight="1">
      <c r="A64" s="48"/>
      <c r="B64" s="318" t="s">
        <v>10</v>
      </c>
      <c r="C64" s="322">
        <v>1</v>
      </c>
      <c r="D64" s="373">
        <v>600</v>
      </c>
      <c r="E64" s="334">
        <f t="shared" si="18"/>
        <v>480</v>
      </c>
      <c r="F64" s="335">
        <f>D64+200</f>
        <v>800</v>
      </c>
      <c r="G64" s="334">
        <f t="shared" si="20"/>
        <v>640</v>
      </c>
      <c r="H64" s="336">
        <f t="shared" si="22"/>
        <v>200</v>
      </c>
      <c r="I64" s="337">
        <f t="shared" si="22"/>
        <v>160</v>
      </c>
      <c r="J64" s="338">
        <f t="shared" si="23"/>
        <v>600</v>
      </c>
      <c r="K64" s="339">
        <f t="shared" si="21"/>
        <v>800</v>
      </c>
    </row>
    <row r="65" spans="1:11" ht="27" customHeight="1">
      <c r="A65" s="48"/>
      <c r="B65" s="318" t="s">
        <v>122</v>
      </c>
      <c r="C65" s="322">
        <v>1</v>
      </c>
      <c r="D65" s="373">
        <v>690</v>
      </c>
      <c r="E65" s="334">
        <f t="shared" si="18"/>
        <v>552</v>
      </c>
      <c r="F65" s="335">
        <f>D65+200</f>
        <v>890</v>
      </c>
      <c r="G65" s="334">
        <f t="shared" si="20"/>
        <v>712</v>
      </c>
      <c r="H65" s="336">
        <f t="shared" si="22"/>
        <v>200</v>
      </c>
      <c r="I65" s="337">
        <f t="shared" si="22"/>
        <v>160</v>
      </c>
      <c r="J65" s="338">
        <f t="shared" si="23"/>
        <v>690</v>
      </c>
      <c r="K65" s="339">
        <f t="shared" si="21"/>
        <v>890</v>
      </c>
    </row>
    <row r="66" spans="1:11" ht="15.75" thickBot="1">
      <c r="A66" s="48"/>
      <c r="B66" s="388" t="s">
        <v>11</v>
      </c>
      <c r="C66" s="323">
        <v>1</v>
      </c>
      <c r="D66" s="374">
        <v>580</v>
      </c>
      <c r="E66" s="340">
        <f t="shared" si="18"/>
        <v>464</v>
      </c>
      <c r="F66" s="335">
        <f>D66+200</f>
        <v>780</v>
      </c>
      <c r="G66" s="334">
        <f t="shared" si="20"/>
        <v>624</v>
      </c>
      <c r="H66" s="336">
        <f t="shared" si="22"/>
        <v>200</v>
      </c>
      <c r="I66" s="337">
        <f t="shared" si="22"/>
        <v>160</v>
      </c>
      <c r="J66" s="338">
        <f t="shared" si="23"/>
        <v>580</v>
      </c>
      <c r="K66" s="339">
        <f t="shared" si="21"/>
        <v>780</v>
      </c>
    </row>
    <row r="67" spans="1:11" ht="16.5" thickBot="1">
      <c r="A67" s="196">
        <v>4</v>
      </c>
      <c r="B67" s="72" t="s">
        <v>292</v>
      </c>
      <c r="C67" s="66">
        <f>SUM(C69:C81)-C71</f>
        <v>26</v>
      </c>
      <c r="D67" s="67">
        <v>175</v>
      </c>
      <c r="E67" s="67"/>
      <c r="F67" s="207">
        <v>175</v>
      </c>
      <c r="G67" s="241"/>
      <c r="H67" s="241"/>
      <c r="I67" s="241"/>
      <c r="J67" s="134">
        <f>SUM(J69:J81)</f>
        <v>18525</v>
      </c>
      <c r="K67" s="134">
        <f>SUM(K69:K81)</f>
        <v>25850</v>
      </c>
    </row>
    <row r="68" spans="1:11" ht="15.75" thickBot="1">
      <c r="A68" s="197"/>
      <c r="B68" s="126" t="s">
        <v>116</v>
      </c>
      <c r="C68" s="772">
        <v>175</v>
      </c>
      <c r="D68" s="773"/>
      <c r="E68" s="773"/>
      <c r="F68" s="773"/>
      <c r="G68" s="773"/>
      <c r="H68" s="773"/>
      <c r="I68" s="773"/>
      <c r="J68" s="773"/>
      <c r="K68" s="774"/>
    </row>
    <row r="69" spans="1:11" ht="18" customHeight="1">
      <c r="A69" s="48"/>
      <c r="B69" s="314" t="s">
        <v>7</v>
      </c>
      <c r="C69" s="319">
        <v>1</v>
      </c>
      <c r="D69" s="371">
        <v>990</v>
      </c>
      <c r="E69" s="324">
        <f t="shared" ref="E69:E81" si="24">D69-D69*0.2</f>
        <v>792</v>
      </c>
      <c r="F69" s="329">
        <f t="shared" ref="F69:F77" si="25">D69+200</f>
        <v>1190</v>
      </c>
      <c r="G69" s="328">
        <f t="shared" ref="G69:G81" si="26">F69-F69*0.2</f>
        <v>952</v>
      </c>
      <c r="H69" s="325">
        <f>F69-D69</f>
        <v>200</v>
      </c>
      <c r="I69" s="324">
        <f>G69-E69</f>
        <v>160</v>
      </c>
      <c r="J69" s="332">
        <f>D69*C69</f>
        <v>990</v>
      </c>
      <c r="K69" s="333">
        <f t="shared" ref="K69:K81" si="27">F69*C69</f>
        <v>1190</v>
      </c>
    </row>
    <row r="70" spans="1:11" ht="18" customHeight="1">
      <c r="A70" s="48"/>
      <c r="B70" s="315" t="s">
        <v>4</v>
      </c>
      <c r="C70" s="320">
        <v>1</v>
      </c>
      <c r="D70" s="372">
        <v>850</v>
      </c>
      <c r="E70" s="328">
        <f t="shared" si="24"/>
        <v>680</v>
      </c>
      <c r="F70" s="329">
        <f t="shared" si="25"/>
        <v>1050</v>
      </c>
      <c r="G70" s="328">
        <f t="shared" si="26"/>
        <v>840</v>
      </c>
      <c r="H70" s="330">
        <f t="shared" ref="H70:I81" si="28">F70-D70</f>
        <v>200</v>
      </c>
      <c r="I70" s="331">
        <f t="shared" si="28"/>
        <v>160</v>
      </c>
      <c r="J70" s="332">
        <f t="shared" ref="J70:J81" si="29">D70*C70</f>
        <v>850</v>
      </c>
      <c r="K70" s="333">
        <f t="shared" si="27"/>
        <v>1050</v>
      </c>
    </row>
    <row r="71" spans="1:11">
      <c r="A71" s="48"/>
      <c r="B71" s="315" t="s">
        <v>120</v>
      </c>
      <c r="C71" s="320">
        <v>7.5</v>
      </c>
      <c r="D71" s="395">
        <v>850</v>
      </c>
      <c r="E71" s="394">
        <f t="shared" si="24"/>
        <v>680</v>
      </c>
      <c r="F71" s="329"/>
      <c r="G71" s="328">
        <f t="shared" si="26"/>
        <v>0</v>
      </c>
      <c r="H71" s="391">
        <f t="shared" si="28"/>
        <v>-850</v>
      </c>
      <c r="I71" s="392">
        <f t="shared" si="28"/>
        <v>-680</v>
      </c>
      <c r="J71" s="332">
        <f t="shared" si="29"/>
        <v>6375</v>
      </c>
      <c r="K71" s="333">
        <f t="shared" si="27"/>
        <v>0</v>
      </c>
    </row>
    <row r="72" spans="1:11" ht="25.5">
      <c r="A72" s="48"/>
      <c r="B72" s="346" t="s">
        <v>361</v>
      </c>
      <c r="C72" s="347">
        <v>5</v>
      </c>
      <c r="D72" s="348">
        <v>850</v>
      </c>
      <c r="E72" s="334">
        <f t="shared" si="24"/>
        <v>680</v>
      </c>
      <c r="F72" s="335">
        <v>1050</v>
      </c>
      <c r="G72" s="334">
        <f t="shared" si="26"/>
        <v>840</v>
      </c>
      <c r="H72" s="336">
        <f t="shared" si="28"/>
        <v>200</v>
      </c>
      <c r="I72" s="337">
        <f t="shared" si="28"/>
        <v>160</v>
      </c>
      <c r="J72" s="338"/>
      <c r="K72" s="339">
        <f t="shared" si="27"/>
        <v>5250</v>
      </c>
    </row>
    <row r="73" spans="1:11">
      <c r="A73" s="48"/>
      <c r="B73" s="346" t="s">
        <v>360</v>
      </c>
      <c r="C73" s="347">
        <v>5</v>
      </c>
      <c r="D73" s="348">
        <v>425</v>
      </c>
      <c r="E73" s="334">
        <f t="shared" si="24"/>
        <v>340</v>
      </c>
      <c r="F73" s="335">
        <v>1050</v>
      </c>
      <c r="G73" s="334">
        <f t="shared" si="26"/>
        <v>840</v>
      </c>
      <c r="H73" s="336">
        <f t="shared" si="28"/>
        <v>625</v>
      </c>
      <c r="I73" s="337">
        <f t="shared" si="28"/>
        <v>500</v>
      </c>
      <c r="J73" s="338"/>
      <c r="K73" s="339">
        <f t="shared" si="27"/>
        <v>5250</v>
      </c>
    </row>
    <row r="74" spans="1:11">
      <c r="A74" s="48"/>
      <c r="B74" s="387" t="s">
        <v>289</v>
      </c>
      <c r="C74" s="320">
        <v>2</v>
      </c>
      <c r="D74" s="372">
        <v>770</v>
      </c>
      <c r="E74" s="328">
        <f t="shared" si="24"/>
        <v>616</v>
      </c>
      <c r="F74" s="329">
        <f t="shared" si="25"/>
        <v>970</v>
      </c>
      <c r="G74" s="328">
        <f t="shared" si="26"/>
        <v>776</v>
      </c>
      <c r="H74" s="330">
        <f t="shared" si="28"/>
        <v>200</v>
      </c>
      <c r="I74" s="331">
        <f t="shared" si="28"/>
        <v>160</v>
      </c>
      <c r="J74" s="332">
        <f t="shared" si="29"/>
        <v>1540</v>
      </c>
      <c r="K74" s="333">
        <f t="shared" si="27"/>
        <v>1940</v>
      </c>
    </row>
    <row r="75" spans="1:11">
      <c r="A75" s="48"/>
      <c r="B75" s="315" t="s">
        <v>8</v>
      </c>
      <c r="C75" s="320">
        <v>1</v>
      </c>
      <c r="D75" s="372">
        <v>790</v>
      </c>
      <c r="E75" s="328">
        <f t="shared" si="24"/>
        <v>632</v>
      </c>
      <c r="F75" s="329">
        <f t="shared" si="25"/>
        <v>990</v>
      </c>
      <c r="G75" s="328">
        <f t="shared" si="26"/>
        <v>792</v>
      </c>
      <c r="H75" s="330">
        <f t="shared" si="28"/>
        <v>200</v>
      </c>
      <c r="I75" s="331">
        <f t="shared" si="28"/>
        <v>160</v>
      </c>
      <c r="J75" s="332">
        <f t="shared" si="29"/>
        <v>790</v>
      </c>
      <c r="K75" s="333">
        <f t="shared" si="27"/>
        <v>990</v>
      </c>
    </row>
    <row r="76" spans="1:11">
      <c r="A76" s="48"/>
      <c r="B76" s="315" t="s">
        <v>123</v>
      </c>
      <c r="C76" s="320">
        <v>1</v>
      </c>
      <c r="D76" s="372">
        <v>720</v>
      </c>
      <c r="E76" s="328">
        <f t="shared" si="24"/>
        <v>576</v>
      </c>
      <c r="F76" s="329">
        <f t="shared" si="25"/>
        <v>920</v>
      </c>
      <c r="G76" s="328">
        <f t="shared" si="26"/>
        <v>736</v>
      </c>
      <c r="H76" s="330">
        <f t="shared" si="28"/>
        <v>200</v>
      </c>
      <c r="I76" s="331">
        <f t="shared" si="28"/>
        <v>160</v>
      </c>
      <c r="J76" s="332">
        <f t="shared" si="29"/>
        <v>720</v>
      </c>
      <c r="K76" s="333">
        <f t="shared" si="27"/>
        <v>920</v>
      </c>
    </row>
    <row r="77" spans="1:11">
      <c r="A77" s="48"/>
      <c r="B77" s="315" t="s">
        <v>9</v>
      </c>
      <c r="C77" s="320">
        <v>2</v>
      </c>
      <c r="D77" s="372">
        <v>720</v>
      </c>
      <c r="E77" s="328">
        <f t="shared" si="24"/>
        <v>576</v>
      </c>
      <c r="F77" s="329">
        <f t="shared" si="25"/>
        <v>920</v>
      </c>
      <c r="G77" s="328">
        <f t="shared" si="26"/>
        <v>736</v>
      </c>
      <c r="H77" s="330">
        <f t="shared" si="28"/>
        <v>200</v>
      </c>
      <c r="I77" s="331">
        <f t="shared" si="28"/>
        <v>160</v>
      </c>
      <c r="J77" s="332">
        <f t="shared" si="29"/>
        <v>1440</v>
      </c>
      <c r="K77" s="333">
        <f t="shared" si="27"/>
        <v>1840</v>
      </c>
    </row>
    <row r="78" spans="1:11">
      <c r="A78" s="48"/>
      <c r="B78" s="315" t="s">
        <v>121</v>
      </c>
      <c r="C78" s="320">
        <v>5</v>
      </c>
      <c r="D78" s="372">
        <v>790</v>
      </c>
      <c r="E78" s="328">
        <f t="shared" si="24"/>
        <v>632</v>
      </c>
      <c r="F78" s="329">
        <f>D78+200</f>
        <v>990</v>
      </c>
      <c r="G78" s="328">
        <f t="shared" si="26"/>
        <v>792</v>
      </c>
      <c r="H78" s="330">
        <f t="shared" si="28"/>
        <v>200</v>
      </c>
      <c r="I78" s="331">
        <f t="shared" si="28"/>
        <v>160</v>
      </c>
      <c r="J78" s="332">
        <f t="shared" si="29"/>
        <v>3950</v>
      </c>
      <c r="K78" s="333">
        <f t="shared" si="27"/>
        <v>4950</v>
      </c>
    </row>
    <row r="79" spans="1:11" ht="27.75" customHeight="1">
      <c r="A79" s="48"/>
      <c r="B79" s="318" t="s">
        <v>10</v>
      </c>
      <c r="C79" s="322">
        <v>1</v>
      </c>
      <c r="D79" s="373">
        <v>600</v>
      </c>
      <c r="E79" s="334">
        <f t="shared" si="24"/>
        <v>480</v>
      </c>
      <c r="F79" s="335">
        <f>D79+200</f>
        <v>800</v>
      </c>
      <c r="G79" s="334">
        <f t="shared" si="26"/>
        <v>640</v>
      </c>
      <c r="H79" s="330">
        <f t="shared" si="28"/>
        <v>200</v>
      </c>
      <c r="I79" s="331">
        <f t="shared" si="28"/>
        <v>160</v>
      </c>
      <c r="J79" s="338">
        <f t="shared" si="29"/>
        <v>600</v>
      </c>
      <c r="K79" s="339">
        <f t="shared" si="27"/>
        <v>800</v>
      </c>
    </row>
    <row r="80" spans="1:11" ht="24" customHeight="1">
      <c r="A80" s="48"/>
      <c r="B80" s="318" t="s">
        <v>122</v>
      </c>
      <c r="C80" s="322">
        <v>1</v>
      </c>
      <c r="D80" s="373">
        <v>690</v>
      </c>
      <c r="E80" s="334">
        <f t="shared" si="24"/>
        <v>552</v>
      </c>
      <c r="F80" s="335">
        <f>D80+200</f>
        <v>890</v>
      </c>
      <c r="G80" s="334">
        <f t="shared" si="26"/>
        <v>712</v>
      </c>
      <c r="H80" s="330">
        <f t="shared" si="28"/>
        <v>200</v>
      </c>
      <c r="I80" s="331">
        <f t="shared" si="28"/>
        <v>160</v>
      </c>
      <c r="J80" s="338">
        <f t="shared" si="29"/>
        <v>690</v>
      </c>
      <c r="K80" s="339">
        <f t="shared" si="27"/>
        <v>890</v>
      </c>
    </row>
    <row r="81" spans="1:11" ht="22.5" customHeight="1" thickBot="1">
      <c r="A81" s="48"/>
      <c r="B81" s="388" t="s">
        <v>11</v>
      </c>
      <c r="C81" s="323">
        <v>1</v>
      </c>
      <c r="D81" s="374">
        <v>580</v>
      </c>
      <c r="E81" s="340">
        <f t="shared" si="24"/>
        <v>464</v>
      </c>
      <c r="F81" s="335">
        <f>D81+200</f>
        <v>780</v>
      </c>
      <c r="G81" s="334">
        <f t="shared" si="26"/>
        <v>624</v>
      </c>
      <c r="H81" s="330">
        <f t="shared" si="28"/>
        <v>200</v>
      </c>
      <c r="I81" s="331">
        <f t="shared" si="28"/>
        <v>160</v>
      </c>
      <c r="J81" s="338">
        <f t="shared" si="29"/>
        <v>580</v>
      </c>
      <c r="K81" s="339">
        <f t="shared" si="27"/>
        <v>780</v>
      </c>
    </row>
    <row r="82" spans="1:11" ht="17.25" customHeight="1" thickBot="1">
      <c r="A82" s="196">
        <v>5</v>
      </c>
      <c r="B82" s="72" t="s">
        <v>293</v>
      </c>
      <c r="C82" s="66">
        <f>SUM(C84:C96)-C86</f>
        <v>28</v>
      </c>
      <c r="D82" s="67">
        <v>175</v>
      </c>
      <c r="E82" s="67"/>
      <c r="F82" s="207">
        <v>175</v>
      </c>
      <c r="G82" s="241"/>
      <c r="H82" s="241"/>
      <c r="I82" s="241"/>
      <c r="J82" s="134">
        <f>SUM(J84:J96)</f>
        <v>20065</v>
      </c>
      <c r="K82" s="134">
        <f>SUM(K84:K96)</f>
        <v>27790</v>
      </c>
    </row>
    <row r="83" spans="1:11" ht="18.75" customHeight="1" thickBot="1">
      <c r="A83" s="197"/>
      <c r="B83" s="73" t="s">
        <v>116</v>
      </c>
      <c r="C83" s="772">
        <v>175</v>
      </c>
      <c r="D83" s="773"/>
      <c r="E83" s="773"/>
      <c r="F83" s="773"/>
      <c r="G83" s="773"/>
      <c r="H83" s="773"/>
      <c r="I83" s="773"/>
      <c r="J83" s="773"/>
      <c r="K83" s="774"/>
    </row>
    <row r="84" spans="1:11" ht="18" customHeight="1">
      <c r="A84" s="48"/>
      <c r="B84" s="314" t="s">
        <v>7</v>
      </c>
      <c r="C84" s="319">
        <v>1</v>
      </c>
      <c r="D84" s="371">
        <v>990</v>
      </c>
      <c r="E84" s="324">
        <f t="shared" ref="E84:E96" si="30">D84-D84*0.2</f>
        <v>792</v>
      </c>
      <c r="F84" s="329">
        <f t="shared" ref="F84:F92" si="31">D84+200</f>
        <v>1190</v>
      </c>
      <c r="G84" s="328">
        <f t="shared" ref="G84:G96" si="32">F84-F84*0.2</f>
        <v>952</v>
      </c>
      <c r="H84" s="325">
        <f>F84-D84</f>
        <v>200</v>
      </c>
      <c r="I84" s="324">
        <f>G84-E84</f>
        <v>160</v>
      </c>
      <c r="J84" s="332">
        <f>D84*C84</f>
        <v>990</v>
      </c>
      <c r="K84" s="333">
        <f t="shared" ref="K84:K96" si="33">F84*C84</f>
        <v>1190</v>
      </c>
    </row>
    <row r="85" spans="1:11" ht="18" customHeight="1">
      <c r="A85" s="48"/>
      <c r="B85" s="315" t="s">
        <v>4</v>
      </c>
      <c r="C85" s="320">
        <v>1</v>
      </c>
      <c r="D85" s="372">
        <v>850</v>
      </c>
      <c r="E85" s="328">
        <f t="shared" si="30"/>
        <v>680</v>
      </c>
      <c r="F85" s="329">
        <f t="shared" si="31"/>
        <v>1050</v>
      </c>
      <c r="G85" s="328">
        <f t="shared" si="32"/>
        <v>840</v>
      </c>
      <c r="H85" s="330">
        <f t="shared" ref="H85:I96" si="34">F85-D85</f>
        <v>200</v>
      </c>
      <c r="I85" s="331">
        <f t="shared" si="34"/>
        <v>160</v>
      </c>
      <c r="J85" s="332">
        <f t="shared" ref="J85:J96" si="35">D85*C85</f>
        <v>850</v>
      </c>
      <c r="K85" s="333">
        <f t="shared" si="33"/>
        <v>1050</v>
      </c>
    </row>
    <row r="86" spans="1:11">
      <c r="A86" s="48"/>
      <c r="B86" s="315" t="s">
        <v>120</v>
      </c>
      <c r="C86" s="320">
        <v>7.5</v>
      </c>
      <c r="D86" s="395">
        <v>850</v>
      </c>
      <c r="E86" s="394">
        <f t="shared" si="30"/>
        <v>680</v>
      </c>
      <c r="F86" s="329"/>
      <c r="G86" s="328">
        <f t="shared" si="32"/>
        <v>0</v>
      </c>
      <c r="H86" s="391">
        <f t="shared" si="34"/>
        <v>-850</v>
      </c>
      <c r="I86" s="392">
        <f t="shared" si="34"/>
        <v>-680</v>
      </c>
      <c r="J86" s="332">
        <f t="shared" si="35"/>
        <v>6375</v>
      </c>
      <c r="K86" s="333">
        <f t="shared" si="33"/>
        <v>0</v>
      </c>
    </row>
    <row r="87" spans="1:11" ht="25.5">
      <c r="A87" s="48"/>
      <c r="B87" s="346" t="s">
        <v>361</v>
      </c>
      <c r="C87" s="347">
        <v>5</v>
      </c>
      <c r="D87" s="348">
        <v>850</v>
      </c>
      <c r="E87" s="334">
        <f t="shared" si="30"/>
        <v>680</v>
      </c>
      <c r="F87" s="335">
        <v>1050</v>
      </c>
      <c r="G87" s="334">
        <f t="shared" si="32"/>
        <v>840</v>
      </c>
      <c r="H87" s="336">
        <f t="shared" si="34"/>
        <v>200</v>
      </c>
      <c r="I87" s="337">
        <f t="shared" si="34"/>
        <v>160</v>
      </c>
      <c r="J87" s="338"/>
      <c r="K87" s="339">
        <f t="shared" si="33"/>
        <v>5250</v>
      </c>
    </row>
    <row r="88" spans="1:11">
      <c r="A88" s="48"/>
      <c r="B88" s="346" t="s">
        <v>360</v>
      </c>
      <c r="C88" s="347">
        <v>5</v>
      </c>
      <c r="D88" s="348">
        <v>425</v>
      </c>
      <c r="E88" s="334">
        <f t="shared" si="30"/>
        <v>340</v>
      </c>
      <c r="F88" s="335">
        <v>1050</v>
      </c>
      <c r="G88" s="334">
        <f t="shared" si="32"/>
        <v>840</v>
      </c>
      <c r="H88" s="336">
        <f t="shared" si="34"/>
        <v>625</v>
      </c>
      <c r="I88" s="337">
        <f t="shared" si="34"/>
        <v>500</v>
      </c>
      <c r="J88" s="338"/>
      <c r="K88" s="339">
        <f t="shared" si="33"/>
        <v>5250</v>
      </c>
    </row>
    <row r="89" spans="1:11">
      <c r="A89" s="48"/>
      <c r="B89" s="315" t="s">
        <v>289</v>
      </c>
      <c r="C89" s="320">
        <f>3+1</f>
        <v>4</v>
      </c>
      <c r="D89" s="372">
        <v>770</v>
      </c>
      <c r="E89" s="328">
        <f t="shared" si="30"/>
        <v>616</v>
      </c>
      <c r="F89" s="329">
        <f t="shared" si="31"/>
        <v>970</v>
      </c>
      <c r="G89" s="328">
        <f t="shared" si="32"/>
        <v>776</v>
      </c>
      <c r="H89" s="330">
        <f t="shared" si="34"/>
        <v>200</v>
      </c>
      <c r="I89" s="331">
        <f t="shared" si="34"/>
        <v>160</v>
      </c>
      <c r="J89" s="332">
        <f t="shared" si="35"/>
        <v>3080</v>
      </c>
      <c r="K89" s="333">
        <f t="shared" si="33"/>
        <v>3880</v>
      </c>
    </row>
    <row r="90" spans="1:11">
      <c r="A90" s="48"/>
      <c r="B90" s="315" t="s">
        <v>8</v>
      </c>
      <c r="C90" s="320">
        <v>1</v>
      </c>
      <c r="D90" s="372">
        <v>790</v>
      </c>
      <c r="E90" s="328">
        <f t="shared" si="30"/>
        <v>632</v>
      </c>
      <c r="F90" s="329">
        <f t="shared" si="31"/>
        <v>990</v>
      </c>
      <c r="G90" s="328">
        <f t="shared" si="32"/>
        <v>792</v>
      </c>
      <c r="H90" s="330">
        <f t="shared" si="34"/>
        <v>200</v>
      </c>
      <c r="I90" s="331">
        <f t="shared" si="34"/>
        <v>160</v>
      </c>
      <c r="J90" s="332">
        <f t="shared" si="35"/>
        <v>790</v>
      </c>
      <c r="K90" s="333">
        <f t="shared" si="33"/>
        <v>990</v>
      </c>
    </row>
    <row r="91" spans="1:11">
      <c r="A91" s="48"/>
      <c r="B91" s="315" t="s">
        <v>123</v>
      </c>
      <c r="C91" s="320">
        <v>1</v>
      </c>
      <c r="D91" s="372">
        <v>720</v>
      </c>
      <c r="E91" s="328">
        <f t="shared" si="30"/>
        <v>576</v>
      </c>
      <c r="F91" s="329">
        <f t="shared" si="31"/>
        <v>920</v>
      </c>
      <c r="G91" s="328">
        <f t="shared" si="32"/>
        <v>736</v>
      </c>
      <c r="H91" s="330">
        <f t="shared" si="34"/>
        <v>200</v>
      </c>
      <c r="I91" s="331">
        <f t="shared" si="34"/>
        <v>160</v>
      </c>
      <c r="J91" s="332">
        <f t="shared" si="35"/>
        <v>720</v>
      </c>
      <c r="K91" s="333">
        <f t="shared" si="33"/>
        <v>920</v>
      </c>
    </row>
    <row r="92" spans="1:11">
      <c r="A92" s="48"/>
      <c r="B92" s="315" t="s">
        <v>9</v>
      </c>
      <c r="C92" s="320">
        <v>2</v>
      </c>
      <c r="D92" s="372">
        <v>720</v>
      </c>
      <c r="E92" s="328">
        <f t="shared" si="30"/>
        <v>576</v>
      </c>
      <c r="F92" s="329">
        <f t="shared" si="31"/>
        <v>920</v>
      </c>
      <c r="G92" s="328">
        <f t="shared" si="32"/>
        <v>736</v>
      </c>
      <c r="H92" s="330">
        <f t="shared" si="34"/>
        <v>200</v>
      </c>
      <c r="I92" s="331">
        <f t="shared" si="34"/>
        <v>160</v>
      </c>
      <c r="J92" s="332">
        <f t="shared" si="35"/>
        <v>1440</v>
      </c>
      <c r="K92" s="333">
        <f t="shared" si="33"/>
        <v>1840</v>
      </c>
    </row>
    <row r="93" spans="1:11">
      <c r="A93" s="48"/>
      <c r="B93" s="315" t="s">
        <v>121</v>
      </c>
      <c r="C93" s="320">
        <v>5</v>
      </c>
      <c r="D93" s="372">
        <v>790</v>
      </c>
      <c r="E93" s="328">
        <f t="shared" si="30"/>
        <v>632</v>
      </c>
      <c r="F93" s="329">
        <f>D93+200</f>
        <v>990</v>
      </c>
      <c r="G93" s="328">
        <f t="shared" si="32"/>
        <v>792</v>
      </c>
      <c r="H93" s="330">
        <f t="shared" si="34"/>
        <v>200</v>
      </c>
      <c r="I93" s="331">
        <f t="shared" si="34"/>
        <v>160</v>
      </c>
      <c r="J93" s="332">
        <f t="shared" si="35"/>
        <v>3950</v>
      </c>
      <c r="K93" s="333">
        <f t="shared" si="33"/>
        <v>4950</v>
      </c>
    </row>
    <row r="94" spans="1:11" ht="30.75" customHeight="1">
      <c r="A94" s="48"/>
      <c r="B94" s="318" t="s">
        <v>10</v>
      </c>
      <c r="C94" s="322">
        <v>1</v>
      </c>
      <c r="D94" s="373">
        <v>600</v>
      </c>
      <c r="E94" s="334">
        <f t="shared" si="30"/>
        <v>480</v>
      </c>
      <c r="F94" s="335">
        <f>D94+200</f>
        <v>800</v>
      </c>
      <c r="G94" s="334">
        <f t="shared" si="32"/>
        <v>640</v>
      </c>
      <c r="H94" s="336">
        <f t="shared" si="34"/>
        <v>200</v>
      </c>
      <c r="I94" s="337">
        <f t="shared" si="34"/>
        <v>160</v>
      </c>
      <c r="J94" s="338">
        <f t="shared" si="35"/>
        <v>600</v>
      </c>
      <c r="K94" s="339">
        <f t="shared" si="33"/>
        <v>800</v>
      </c>
    </row>
    <row r="95" spans="1:11">
      <c r="A95" s="48"/>
      <c r="B95" s="318" t="s">
        <v>122</v>
      </c>
      <c r="C95" s="322">
        <v>1</v>
      </c>
      <c r="D95" s="373">
        <v>690</v>
      </c>
      <c r="E95" s="334">
        <f t="shared" si="30"/>
        <v>552</v>
      </c>
      <c r="F95" s="335">
        <f>D95+200</f>
        <v>890</v>
      </c>
      <c r="G95" s="334">
        <f t="shared" si="32"/>
        <v>712</v>
      </c>
      <c r="H95" s="336">
        <f t="shared" si="34"/>
        <v>200</v>
      </c>
      <c r="I95" s="337">
        <f t="shared" si="34"/>
        <v>160</v>
      </c>
      <c r="J95" s="338">
        <f t="shared" si="35"/>
        <v>690</v>
      </c>
      <c r="K95" s="339">
        <f t="shared" si="33"/>
        <v>890</v>
      </c>
    </row>
    <row r="96" spans="1:11" ht="16.5" customHeight="1" thickBot="1">
      <c r="A96" s="48"/>
      <c r="B96" s="388" t="s">
        <v>11</v>
      </c>
      <c r="C96" s="323">
        <v>1</v>
      </c>
      <c r="D96" s="374">
        <v>580</v>
      </c>
      <c r="E96" s="340">
        <f t="shared" si="30"/>
        <v>464</v>
      </c>
      <c r="F96" s="335">
        <f>D96+200</f>
        <v>780</v>
      </c>
      <c r="G96" s="334">
        <f t="shared" si="32"/>
        <v>624</v>
      </c>
      <c r="H96" s="336">
        <f t="shared" si="34"/>
        <v>200</v>
      </c>
      <c r="I96" s="337">
        <f t="shared" si="34"/>
        <v>160</v>
      </c>
      <c r="J96" s="338">
        <f t="shared" si="35"/>
        <v>580</v>
      </c>
      <c r="K96" s="339">
        <f t="shared" si="33"/>
        <v>780</v>
      </c>
    </row>
    <row r="97" spans="1:11" ht="16.5" customHeight="1" thickBot="1">
      <c r="A97" s="196">
        <v>6</v>
      </c>
      <c r="B97" s="72" t="s">
        <v>294</v>
      </c>
      <c r="C97" s="66">
        <f>SUM(C99:C111)-C101</f>
        <v>20</v>
      </c>
      <c r="D97" s="67">
        <v>105</v>
      </c>
      <c r="E97" s="67"/>
      <c r="F97" s="207">
        <v>105</v>
      </c>
      <c r="G97" s="241"/>
      <c r="H97" s="241"/>
      <c r="I97" s="241"/>
      <c r="J97" s="134">
        <f>SUM(J99:J111)</f>
        <v>14395</v>
      </c>
      <c r="K97" s="134">
        <f>SUM(K99:K111)</f>
        <v>19670</v>
      </c>
    </row>
    <row r="98" spans="1:11" ht="16.5" customHeight="1" thickBot="1">
      <c r="A98" s="197"/>
      <c r="B98" s="73" t="s">
        <v>115</v>
      </c>
      <c r="C98" s="772">
        <v>105</v>
      </c>
      <c r="D98" s="773"/>
      <c r="E98" s="773"/>
      <c r="F98" s="773"/>
      <c r="G98" s="773"/>
      <c r="H98" s="773"/>
      <c r="I98" s="773"/>
      <c r="J98" s="773"/>
      <c r="K98" s="774"/>
    </row>
    <row r="99" spans="1:11" ht="18" customHeight="1">
      <c r="A99" s="50"/>
      <c r="B99" s="314" t="s">
        <v>7</v>
      </c>
      <c r="C99" s="319">
        <v>1</v>
      </c>
      <c r="D99" s="309">
        <v>990</v>
      </c>
      <c r="E99" s="324">
        <f t="shared" ref="E99:E111" si="36">D99-D99*0.2</f>
        <v>792</v>
      </c>
      <c r="F99" s="329">
        <f t="shared" ref="F99:F107" si="37">D99+200</f>
        <v>1190</v>
      </c>
      <c r="G99" s="328">
        <f t="shared" ref="G99:G111" si="38">F99-F99*0.2</f>
        <v>952</v>
      </c>
      <c r="H99" s="325">
        <f>F99-D99</f>
        <v>200</v>
      </c>
      <c r="I99" s="324">
        <f>G99-E99</f>
        <v>160</v>
      </c>
      <c r="J99" s="332">
        <f>D99*C99</f>
        <v>990</v>
      </c>
      <c r="K99" s="333">
        <f t="shared" ref="K99:K111" si="39">F99*C99</f>
        <v>1190</v>
      </c>
    </row>
    <row r="100" spans="1:11" ht="18" customHeight="1">
      <c r="A100" s="50"/>
      <c r="B100" s="315" t="s">
        <v>4</v>
      </c>
      <c r="C100" s="320">
        <v>1</v>
      </c>
      <c r="D100" s="310">
        <v>850</v>
      </c>
      <c r="E100" s="328">
        <f t="shared" si="36"/>
        <v>680</v>
      </c>
      <c r="F100" s="329">
        <f t="shared" si="37"/>
        <v>1050</v>
      </c>
      <c r="G100" s="328">
        <f t="shared" si="38"/>
        <v>840</v>
      </c>
      <c r="H100" s="330">
        <f t="shared" ref="H100:I111" si="40">F100-D100</f>
        <v>200</v>
      </c>
      <c r="I100" s="331">
        <f t="shared" si="40"/>
        <v>160</v>
      </c>
      <c r="J100" s="332">
        <f t="shared" ref="J100:J111" si="41">D100*C100</f>
        <v>850</v>
      </c>
      <c r="K100" s="333">
        <f t="shared" si="39"/>
        <v>1050</v>
      </c>
    </row>
    <row r="101" spans="1:11">
      <c r="A101" s="50"/>
      <c r="B101" s="315" t="s">
        <v>120</v>
      </c>
      <c r="C101" s="320">
        <v>4.5</v>
      </c>
      <c r="D101" s="393">
        <v>850</v>
      </c>
      <c r="E101" s="394">
        <f t="shared" si="36"/>
        <v>680</v>
      </c>
      <c r="F101" s="329"/>
      <c r="G101" s="328">
        <f t="shared" si="38"/>
        <v>0</v>
      </c>
      <c r="H101" s="391">
        <f t="shared" si="40"/>
        <v>-850</v>
      </c>
      <c r="I101" s="392">
        <f t="shared" si="40"/>
        <v>-680</v>
      </c>
      <c r="J101" s="332">
        <f t="shared" si="41"/>
        <v>3825</v>
      </c>
      <c r="K101" s="333">
        <f t="shared" si="39"/>
        <v>0</v>
      </c>
    </row>
    <row r="102" spans="1:11" ht="25.5">
      <c r="A102" s="48"/>
      <c r="B102" s="346" t="s">
        <v>361</v>
      </c>
      <c r="C102" s="347">
        <v>3</v>
      </c>
      <c r="D102" s="348">
        <v>850</v>
      </c>
      <c r="E102" s="334">
        <f t="shared" si="36"/>
        <v>680</v>
      </c>
      <c r="F102" s="335">
        <v>1050</v>
      </c>
      <c r="G102" s="334">
        <f t="shared" si="38"/>
        <v>840</v>
      </c>
      <c r="H102" s="336">
        <f t="shared" si="40"/>
        <v>200</v>
      </c>
      <c r="I102" s="337">
        <f t="shared" si="40"/>
        <v>160</v>
      </c>
      <c r="J102" s="338"/>
      <c r="K102" s="339">
        <f t="shared" si="39"/>
        <v>3150</v>
      </c>
    </row>
    <row r="103" spans="1:11">
      <c r="A103" s="48"/>
      <c r="B103" s="346" t="s">
        <v>360</v>
      </c>
      <c r="C103" s="347">
        <v>3</v>
      </c>
      <c r="D103" s="348">
        <v>425</v>
      </c>
      <c r="E103" s="334">
        <f t="shared" si="36"/>
        <v>340</v>
      </c>
      <c r="F103" s="335">
        <v>1050</v>
      </c>
      <c r="G103" s="334">
        <f t="shared" si="38"/>
        <v>840</v>
      </c>
      <c r="H103" s="336">
        <f t="shared" si="40"/>
        <v>625</v>
      </c>
      <c r="I103" s="337">
        <f t="shared" si="40"/>
        <v>500</v>
      </c>
      <c r="J103" s="338"/>
      <c r="K103" s="339">
        <f t="shared" si="39"/>
        <v>3150</v>
      </c>
    </row>
    <row r="104" spans="1:11">
      <c r="A104" s="50"/>
      <c r="B104" s="315" t="s">
        <v>289</v>
      </c>
      <c r="C104" s="320">
        <f>1+1</f>
        <v>2</v>
      </c>
      <c r="D104" s="310">
        <v>770</v>
      </c>
      <c r="E104" s="328">
        <f t="shared" si="36"/>
        <v>616</v>
      </c>
      <c r="F104" s="329">
        <f t="shared" si="37"/>
        <v>970</v>
      </c>
      <c r="G104" s="328">
        <f t="shared" si="38"/>
        <v>776</v>
      </c>
      <c r="H104" s="330">
        <f t="shared" si="40"/>
        <v>200</v>
      </c>
      <c r="I104" s="331">
        <f t="shared" si="40"/>
        <v>160</v>
      </c>
      <c r="J104" s="332">
        <f t="shared" si="41"/>
        <v>1540</v>
      </c>
      <c r="K104" s="333">
        <f t="shared" si="39"/>
        <v>1940</v>
      </c>
    </row>
    <row r="105" spans="1:11">
      <c r="A105" s="50"/>
      <c r="B105" s="315" t="s">
        <v>8</v>
      </c>
      <c r="C105" s="320">
        <v>1</v>
      </c>
      <c r="D105" s="310">
        <v>790</v>
      </c>
      <c r="E105" s="328">
        <f t="shared" si="36"/>
        <v>632</v>
      </c>
      <c r="F105" s="329">
        <f t="shared" si="37"/>
        <v>990</v>
      </c>
      <c r="G105" s="328">
        <f t="shared" si="38"/>
        <v>792</v>
      </c>
      <c r="H105" s="330">
        <f t="shared" si="40"/>
        <v>200</v>
      </c>
      <c r="I105" s="331">
        <f t="shared" si="40"/>
        <v>160</v>
      </c>
      <c r="J105" s="332">
        <f t="shared" si="41"/>
        <v>790</v>
      </c>
      <c r="K105" s="333">
        <f t="shared" si="39"/>
        <v>990</v>
      </c>
    </row>
    <row r="106" spans="1:11">
      <c r="A106" s="50"/>
      <c r="B106" s="315" t="s">
        <v>123</v>
      </c>
      <c r="C106" s="320">
        <v>1</v>
      </c>
      <c r="D106" s="310">
        <v>720</v>
      </c>
      <c r="E106" s="328">
        <f t="shared" si="36"/>
        <v>576</v>
      </c>
      <c r="F106" s="329">
        <f t="shared" si="37"/>
        <v>920</v>
      </c>
      <c r="G106" s="328">
        <f t="shared" si="38"/>
        <v>736</v>
      </c>
      <c r="H106" s="330">
        <f t="shared" si="40"/>
        <v>200</v>
      </c>
      <c r="I106" s="331">
        <f t="shared" si="40"/>
        <v>160</v>
      </c>
      <c r="J106" s="332">
        <f t="shared" si="41"/>
        <v>720</v>
      </c>
      <c r="K106" s="333">
        <f t="shared" si="39"/>
        <v>920</v>
      </c>
    </row>
    <row r="107" spans="1:11">
      <c r="A107" s="50"/>
      <c r="B107" s="315" t="s">
        <v>9</v>
      </c>
      <c r="C107" s="320">
        <v>2</v>
      </c>
      <c r="D107" s="310">
        <v>720</v>
      </c>
      <c r="E107" s="328">
        <f t="shared" si="36"/>
        <v>576</v>
      </c>
      <c r="F107" s="329">
        <f t="shared" si="37"/>
        <v>920</v>
      </c>
      <c r="G107" s="328">
        <f t="shared" si="38"/>
        <v>736</v>
      </c>
      <c r="H107" s="330">
        <f t="shared" si="40"/>
        <v>200</v>
      </c>
      <c r="I107" s="331">
        <f t="shared" si="40"/>
        <v>160</v>
      </c>
      <c r="J107" s="332">
        <f t="shared" si="41"/>
        <v>1440</v>
      </c>
      <c r="K107" s="333">
        <f t="shared" si="39"/>
        <v>1840</v>
      </c>
    </row>
    <row r="108" spans="1:11">
      <c r="A108" s="50"/>
      <c r="B108" s="315" t="s">
        <v>121</v>
      </c>
      <c r="C108" s="320">
        <v>3</v>
      </c>
      <c r="D108" s="310">
        <v>790</v>
      </c>
      <c r="E108" s="328">
        <f t="shared" si="36"/>
        <v>632</v>
      </c>
      <c r="F108" s="329">
        <f>D108+200</f>
        <v>990</v>
      </c>
      <c r="G108" s="328">
        <f t="shared" si="38"/>
        <v>792</v>
      </c>
      <c r="H108" s="330">
        <f t="shared" si="40"/>
        <v>200</v>
      </c>
      <c r="I108" s="331">
        <f t="shared" si="40"/>
        <v>160</v>
      </c>
      <c r="J108" s="332">
        <f t="shared" si="41"/>
        <v>2370</v>
      </c>
      <c r="K108" s="333">
        <f t="shared" si="39"/>
        <v>2970</v>
      </c>
    </row>
    <row r="109" spans="1:11" ht="24" customHeight="1">
      <c r="A109" s="50"/>
      <c r="B109" s="318" t="s">
        <v>122</v>
      </c>
      <c r="C109" s="322">
        <v>1</v>
      </c>
      <c r="D109" s="312">
        <v>690</v>
      </c>
      <c r="E109" s="334">
        <f t="shared" si="36"/>
        <v>552</v>
      </c>
      <c r="F109" s="335">
        <f>D109+200</f>
        <v>890</v>
      </c>
      <c r="G109" s="334">
        <f t="shared" si="38"/>
        <v>712</v>
      </c>
      <c r="H109" s="336">
        <f t="shared" si="40"/>
        <v>200</v>
      </c>
      <c r="I109" s="337">
        <f t="shared" si="40"/>
        <v>160</v>
      </c>
      <c r="J109" s="338">
        <f t="shared" si="41"/>
        <v>690</v>
      </c>
      <c r="K109" s="339">
        <f t="shared" si="39"/>
        <v>890</v>
      </c>
    </row>
    <row r="110" spans="1:11" ht="20.25" customHeight="1">
      <c r="A110" s="50"/>
      <c r="B110" s="318" t="s">
        <v>10</v>
      </c>
      <c r="C110" s="322">
        <v>1</v>
      </c>
      <c r="D110" s="312">
        <v>600</v>
      </c>
      <c r="E110" s="334">
        <f t="shared" si="36"/>
        <v>480</v>
      </c>
      <c r="F110" s="335">
        <f>D110+200</f>
        <v>800</v>
      </c>
      <c r="G110" s="334">
        <f t="shared" si="38"/>
        <v>640</v>
      </c>
      <c r="H110" s="336">
        <f t="shared" si="40"/>
        <v>200</v>
      </c>
      <c r="I110" s="337">
        <f t="shared" si="40"/>
        <v>160</v>
      </c>
      <c r="J110" s="338">
        <f t="shared" si="41"/>
        <v>600</v>
      </c>
      <c r="K110" s="339">
        <f t="shared" si="39"/>
        <v>800</v>
      </c>
    </row>
    <row r="111" spans="1:11" ht="15.75" thickBot="1">
      <c r="A111" s="50"/>
      <c r="B111" s="388" t="s">
        <v>11</v>
      </c>
      <c r="C111" s="323">
        <v>1</v>
      </c>
      <c r="D111" s="313">
        <v>580</v>
      </c>
      <c r="E111" s="340">
        <f t="shared" si="36"/>
        <v>464</v>
      </c>
      <c r="F111" s="335">
        <f>D111+200</f>
        <v>780</v>
      </c>
      <c r="G111" s="334">
        <f t="shared" si="38"/>
        <v>624</v>
      </c>
      <c r="H111" s="336">
        <f t="shared" si="40"/>
        <v>200</v>
      </c>
      <c r="I111" s="337">
        <f t="shared" si="40"/>
        <v>160</v>
      </c>
      <c r="J111" s="338">
        <f t="shared" si="41"/>
        <v>580</v>
      </c>
      <c r="K111" s="339">
        <f t="shared" si="39"/>
        <v>780</v>
      </c>
    </row>
    <row r="112" spans="1:11" ht="16.5" thickBot="1">
      <c r="A112" s="196">
        <v>7</v>
      </c>
      <c r="B112" s="72" t="s">
        <v>295</v>
      </c>
      <c r="C112" s="66">
        <f>SUM(C114:C126)-C116</f>
        <v>27</v>
      </c>
      <c r="D112" s="67">
        <v>175</v>
      </c>
      <c r="E112" s="67"/>
      <c r="F112" s="207">
        <v>175</v>
      </c>
      <c r="G112" s="241"/>
      <c r="H112" s="241"/>
      <c r="I112" s="241"/>
      <c r="J112" s="134">
        <f>SUM(J114:J126)</f>
        <v>19295</v>
      </c>
      <c r="K112" s="134">
        <f>SUM(K114:K126)</f>
        <v>26820</v>
      </c>
    </row>
    <row r="113" spans="1:11" ht="15.75" thickBot="1">
      <c r="A113" s="49"/>
      <c r="B113" s="73" t="s">
        <v>116</v>
      </c>
      <c r="C113" s="772">
        <v>175</v>
      </c>
      <c r="D113" s="773"/>
      <c r="E113" s="773"/>
      <c r="F113" s="773"/>
      <c r="G113" s="773"/>
      <c r="H113" s="773"/>
      <c r="I113" s="773"/>
      <c r="J113" s="773"/>
      <c r="K113" s="774"/>
    </row>
    <row r="114" spans="1:11" ht="18" customHeight="1">
      <c r="A114" s="48"/>
      <c r="B114" s="314" t="s">
        <v>7</v>
      </c>
      <c r="C114" s="319">
        <v>1</v>
      </c>
      <c r="D114" s="309">
        <v>990</v>
      </c>
      <c r="E114" s="324">
        <f t="shared" ref="E114:E126" si="42">D114-D114*0.2</f>
        <v>792</v>
      </c>
      <c r="F114" s="329">
        <f t="shared" ref="F114:F122" si="43">D114+200</f>
        <v>1190</v>
      </c>
      <c r="G114" s="328">
        <f t="shared" ref="G114:G126" si="44">F114-F114*0.2</f>
        <v>952</v>
      </c>
      <c r="H114" s="325">
        <f>F114-D114</f>
        <v>200</v>
      </c>
      <c r="I114" s="324">
        <f>G114-E114</f>
        <v>160</v>
      </c>
      <c r="J114" s="332">
        <f>D114*C114</f>
        <v>990</v>
      </c>
      <c r="K114" s="333">
        <f t="shared" ref="K114:K126" si="45">F114*C114</f>
        <v>1190</v>
      </c>
    </row>
    <row r="115" spans="1:11" ht="18" customHeight="1">
      <c r="A115" s="48"/>
      <c r="B115" s="315" t="s">
        <v>4</v>
      </c>
      <c r="C115" s="320">
        <v>1</v>
      </c>
      <c r="D115" s="310">
        <v>850</v>
      </c>
      <c r="E115" s="328">
        <f t="shared" si="42"/>
        <v>680</v>
      </c>
      <c r="F115" s="329">
        <f t="shared" si="43"/>
        <v>1050</v>
      </c>
      <c r="G115" s="328">
        <f t="shared" si="44"/>
        <v>840</v>
      </c>
      <c r="H115" s="330">
        <f t="shared" ref="H115:I126" si="46">F115-D115</f>
        <v>200</v>
      </c>
      <c r="I115" s="331">
        <f t="shared" si="46"/>
        <v>160</v>
      </c>
      <c r="J115" s="332">
        <f t="shared" ref="J115:J126" si="47">D115*C115</f>
        <v>850</v>
      </c>
      <c r="K115" s="333">
        <f t="shared" si="45"/>
        <v>1050</v>
      </c>
    </row>
    <row r="116" spans="1:11" ht="17.25" customHeight="1">
      <c r="A116" s="48"/>
      <c r="B116" s="315" t="s">
        <v>120</v>
      </c>
      <c r="C116" s="320">
        <v>7.5</v>
      </c>
      <c r="D116" s="393">
        <v>850</v>
      </c>
      <c r="E116" s="394">
        <f t="shared" si="42"/>
        <v>680</v>
      </c>
      <c r="F116" s="329"/>
      <c r="G116" s="328">
        <f t="shared" si="44"/>
        <v>0</v>
      </c>
      <c r="H116" s="391">
        <f t="shared" si="46"/>
        <v>-850</v>
      </c>
      <c r="I116" s="392">
        <f t="shared" si="46"/>
        <v>-680</v>
      </c>
      <c r="J116" s="332">
        <f t="shared" si="47"/>
        <v>6375</v>
      </c>
      <c r="K116" s="333">
        <f t="shared" si="45"/>
        <v>0</v>
      </c>
    </row>
    <row r="117" spans="1:11" ht="25.5">
      <c r="A117" s="48"/>
      <c r="B117" s="346" t="s">
        <v>361</v>
      </c>
      <c r="C117" s="347">
        <v>5</v>
      </c>
      <c r="D117" s="348">
        <v>850</v>
      </c>
      <c r="E117" s="334">
        <f t="shared" si="42"/>
        <v>680</v>
      </c>
      <c r="F117" s="335">
        <v>1050</v>
      </c>
      <c r="G117" s="334">
        <f t="shared" si="44"/>
        <v>840</v>
      </c>
      <c r="H117" s="336">
        <f t="shared" si="46"/>
        <v>200</v>
      </c>
      <c r="I117" s="337">
        <f t="shared" si="46"/>
        <v>160</v>
      </c>
      <c r="J117" s="338"/>
      <c r="K117" s="339">
        <f t="shared" si="45"/>
        <v>5250</v>
      </c>
    </row>
    <row r="118" spans="1:11">
      <c r="A118" s="48"/>
      <c r="B118" s="346" t="s">
        <v>360</v>
      </c>
      <c r="C118" s="347">
        <v>5</v>
      </c>
      <c r="D118" s="348">
        <v>425</v>
      </c>
      <c r="E118" s="334">
        <f t="shared" si="42"/>
        <v>340</v>
      </c>
      <c r="F118" s="335">
        <v>1050</v>
      </c>
      <c r="G118" s="334">
        <f t="shared" si="44"/>
        <v>840</v>
      </c>
      <c r="H118" s="336">
        <f t="shared" si="46"/>
        <v>625</v>
      </c>
      <c r="I118" s="337">
        <f t="shared" si="46"/>
        <v>500</v>
      </c>
      <c r="J118" s="338"/>
      <c r="K118" s="339">
        <f t="shared" si="45"/>
        <v>5250</v>
      </c>
    </row>
    <row r="119" spans="1:11">
      <c r="A119" s="48"/>
      <c r="B119" s="387" t="s">
        <v>289</v>
      </c>
      <c r="C119" s="320">
        <v>3</v>
      </c>
      <c r="D119" s="310">
        <v>770</v>
      </c>
      <c r="E119" s="328">
        <f t="shared" si="42"/>
        <v>616</v>
      </c>
      <c r="F119" s="329">
        <f t="shared" si="43"/>
        <v>970</v>
      </c>
      <c r="G119" s="328">
        <f t="shared" si="44"/>
        <v>776</v>
      </c>
      <c r="H119" s="330">
        <f t="shared" si="46"/>
        <v>200</v>
      </c>
      <c r="I119" s="331">
        <f t="shared" si="46"/>
        <v>160</v>
      </c>
      <c r="J119" s="332">
        <f t="shared" si="47"/>
        <v>2310</v>
      </c>
      <c r="K119" s="333">
        <f t="shared" si="45"/>
        <v>2910</v>
      </c>
    </row>
    <row r="120" spans="1:11">
      <c r="A120" s="48"/>
      <c r="B120" s="315" t="s">
        <v>8</v>
      </c>
      <c r="C120" s="320">
        <v>1</v>
      </c>
      <c r="D120" s="310">
        <v>790</v>
      </c>
      <c r="E120" s="328">
        <f t="shared" si="42"/>
        <v>632</v>
      </c>
      <c r="F120" s="329">
        <f t="shared" si="43"/>
        <v>990</v>
      </c>
      <c r="G120" s="328">
        <f t="shared" si="44"/>
        <v>792</v>
      </c>
      <c r="H120" s="330">
        <f t="shared" si="46"/>
        <v>200</v>
      </c>
      <c r="I120" s="331">
        <f t="shared" si="46"/>
        <v>160</v>
      </c>
      <c r="J120" s="332">
        <f t="shared" si="47"/>
        <v>790</v>
      </c>
      <c r="K120" s="333">
        <f t="shared" si="45"/>
        <v>990</v>
      </c>
    </row>
    <row r="121" spans="1:11">
      <c r="A121" s="48"/>
      <c r="B121" s="315" t="s">
        <v>123</v>
      </c>
      <c r="C121" s="320">
        <v>1</v>
      </c>
      <c r="D121" s="310">
        <v>720</v>
      </c>
      <c r="E121" s="328">
        <f t="shared" si="42"/>
        <v>576</v>
      </c>
      <c r="F121" s="329">
        <f t="shared" si="43"/>
        <v>920</v>
      </c>
      <c r="G121" s="328">
        <f t="shared" si="44"/>
        <v>736</v>
      </c>
      <c r="H121" s="330">
        <f t="shared" si="46"/>
        <v>200</v>
      </c>
      <c r="I121" s="331">
        <f t="shared" si="46"/>
        <v>160</v>
      </c>
      <c r="J121" s="332">
        <f t="shared" si="47"/>
        <v>720</v>
      </c>
      <c r="K121" s="333">
        <f t="shared" si="45"/>
        <v>920</v>
      </c>
    </row>
    <row r="122" spans="1:11">
      <c r="A122" s="48"/>
      <c r="B122" s="315" t="s">
        <v>9</v>
      </c>
      <c r="C122" s="320">
        <v>2</v>
      </c>
      <c r="D122" s="310">
        <v>720</v>
      </c>
      <c r="E122" s="328">
        <f t="shared" si="42"/>
        <v>576</v>
      </c>
      <c r="F122" s="329">
        <f t="shared" si="43"/>
        <v>920</v>
      </c>
      <c r="G122" s="328">
        <f t="shared" si="44"/>
        <v>736</v>
      </c>
      <c r="H122" s="330">
        <f t="shared" si="46"/>
        <v>200</v>
      </c>
      <c r="I122" s="331">
        <f t="shared" si="46"/>
        <v>160</v>
      </c>
      <c r="J122" s="332">
        <f t="shared" si="47"/>
        <v>1440</v>
      </c>
      <c r="K122" s="333">
        <f t="shared" si="45"/>
        <v>1840</v>
      </c>
    </row>
    <row r="123" spans="1:11">
      <c r="A123" s="48"/>
      <c r="B123" s="315" t="s">
        <v>121</v>
      </c>
      <c r="C123" s="320">
        <v>5</v>
      </c>
      <c r="D123" s="310">
        <v>790</v>
      </c>
      <c r="E123" s="328">
        <f t="shared" si="42"/>
        <v>632</v>
      </c>
      <c r="F123" s="329">
        <f>D123+200</f>
        <v>990</v>
      </c>
      <c r="G123" s="328">
        <f t="shared" si="44"/>
        <v>792</v>
      </c>
      <c r="H123" s="330">
        <f t="shared" si="46"/>
        <v>200</v>
      </c>
      <c r="I123" s="331">
        <f t="shared" si="46"/>
        <v>160</v>
      </c>
      <c r="J123" s="332">
        <f t="shared" si="47"/>
        <v>3950</v>
      </c>
      <c r="K123" s="333">
        <f t="shared" si="45"/>
        <v>4950</v>
      </c>
    </row>
    <row r="124" spans="1:11" ht="22.5" customHeight="1">
      <c r="A124" s="48"/>
      <c r="B124" s="318" t="s">
        <v>10</v>
      </c>
      <c r="C124" s="322">
        <v>1</v>
      </c>
      <c r="D124" s="312">
        <v>600</v>
      </c>
      <c r="E124" s="334">
        <f t="shared" si="42"/>
        <v>480</v>
      </c>
      <c r="F124" s="335">
        <f>D124+200</f>
        <v>800</v>
      </c>
      <c r="G124" s="334">
        <f t="shared" si="44"/>
        <v>640</v>
      </c>
      <c r="H124" s="336">
        <f t="shared" si="46"/>
        <v>200</v>
      </c>
      <c r="I124" s="337">
        <f t="shared" si="46"/>
        <v>160</v>
      </c>
      <c r="J124" s="338">
        <f t="shared" si="47"/>
        <v>600</v>
      </c>
      <c r="K124" s="339">
        <f t="shared" si="45"/>
        <v>800</v>
      </c>
    </row>
    <row r="125" spans="1:11" ht="21.75" customHeight="1">
      <c r="A125" s="48"/>
      <c r="B125" s="318" t="s">
        <v>122</v>
      </c>
      <c r="C125" s="322">
        <v>1</v>
      </c>
      <c r="D125" s="312">
        <v>690</v>
      </c>
      <c r="E125" s="334">
        <f t="shared" si="42"/>
        <v>552</v>
      </c>
      <c r="F125" s="335">
        <f>D125+200</f>
        <v>890</v>
      </c>
      <c r="G125" s="334">
        <f t="shared" si="44"/>
        <v>712</v>
      </c>
      <c r="H125" s="336">
        <f t="shared" si="46"/>
        <v>200</v>
      </c>
      <c r="I125" s="337">
        <f t="shared" si="46"/>
        <v>160</v>
      </c>
      <c r="J125" s="338">
        <f t="shared" si="47"/>
        <v>690</v>
      </c>
      <c r="K125" s="339">
        <f t="shared" si="45"/>
        <v>890</v>
      </c>
    </row>
    <row r="126" spans="1:11" ht="15.75" thickBot="1">
      <c r="A126" s="48"/>
      <c r="B126" s="388" t="s">
        <v>11</v>
      </c>
      <c r="C126" s="323">
        <v>1</v>
      </c>
      <c r="D126" s="313">
        <v>580</v>
      </c>
      <c r="E126" s="340">
        <f t="shared" si="42"/>
        <v>464</v>
      </c>
      <c r="F126" s="335">
        <f>D126+200</f>
        <v>780</v>
      </c>
      <c r="G126" s="334">
        <f t="shared" si="44"/>
        <v>624</v>
      </c>
      <c r="H126" s="336">
        <f t="shared" si="46"/>
        <v>200</v>
      </c>
      <c r="I126" s="337">
        <f t="shared" si="46"/>
        <v>160</v>
      </c>
      <c r="J126" s="338">
        <f t="shared" si="47"/>
        <v>580</v>
      </c>
      <c r="K126" s="339">
        <f t="shared" si="45"/>
        <v>780</v>
      </c>
    </row>
    <row r="127" spans="1:11" ht="16.5" thickBot="1">
      <c r="A127" s="196">
        <v>8</v>
      </c>
      <c r="B127" s="72" t="s">
        <v>296</v>
      </c>
      <c r="C127" s="66">
        <f>SUM(C129:C141)-C131</f>
        <v>22</v>
      </c>
      <c r="D127" s="67">
        <v>140</v>
      </c>
      <c r="E127" s="67"/>
      <c r="F127" s="207">
        <v>140</v>
      </c>
      <c r="G127" s="241"/>
      <c r="H127" s="241"/>
      <c r="I127" s="241"/>
      <c r="J127" s="134">
        <f>SUM(J129:J141)</f>
        <v>15690</v>
      </c>
      <c r="K127" s="134">
        <f>SUM(K129:K141)</f>
        <v>21790</v>
      </c>
    </row>
    <row r="128" spans="1:11" ht="15.75" thickBot="1">
      <c r="A128" s="197"/>
      <c r="B128" s="73" t="s">
        <v>117</v>
      </c>
      <c r="C128" s="772">
        <v>140</v>
      </c>
      <c r="D128" s="773"/>
      <c r="E128" s="773"/>
      <c r="F128" s="773"/>
      <c r="G128" s="773"/>
      <c r="H128" s="773"/>
      <c r="I128" s="773"/>
      <c r="J128" s="773"/>
      <c r="K128" s="774"/>
    </row>
    <row r="129" spans="1:11" ht="18" customHeight="1">
      <c r="A129" s="48"/>
      <c r="B129" s="314" t="s">
        <v>7</v>
      </c>
      <c r="C129" s="319">
        <v>1</v>
      </c>
      <c r="D129" s="371">
        <v>990</v>
      </c>
      <c r="E129" s="324">
        <f t="shared" ref="E129:E141" si="48">D129-D129*0.2</f>
        <v>792</v>
      </c>
      <c r="F129" s="329">
        <f t="shared" ref="F129:F137" si="49">D129+200</f>
        <v>1190</v>
      </c>
      <c r="G129" s="328">
        <f t="shared" ref="G129:G141" si="50">F129-F129*0.2</f>
        <v>952</v>
      </c>
      <c r="H129" s="325">
        <f>F129-D129</f>
        <v>200</v>
      </c>
      <c r="I129" s="324">
        <f>G129-E129</f>
        <v>160</v>
      </c>
      <c r="J129" s="332">
        <f>D129*C129</f>
        <v>990</v>
      </c>
      <c r="K129" s="333">
        <f t="shared" ref="K129:K141" si="51">F129*C129</f>
        <v>1190</v>
      </c>
    </row>
    <row r="130" spans="1:11" ht="18" customHeight="1">
      <c r="A130" s="48"/>
      <c r="B130" s="315" t="s">
        <v>4</v>
      </c>
      <c r="C130" s="320">
        <v>1</v>
      </c>
      <c r="D130" s="372">
        <v>850</v>
      </c>
      <c r="E130" s="328">
        <f t="shared" si="48"/>
        <v>680</v>
      </c>
      <c r="F130" s="329">
        <f t="shared" si="49"/>
        <v>1050</v>
      </c>
      <c r="G130" s="328">
        <f t="shared" si="50"/>
        <v>840</v>
      </c>
      <c r="H130" s="330">
        <f t="shared" ref="H130:I141" si="52">F130-D130</f>
        <v>200</v>
      </c>
      <c r="I130" s="331">
        <f t="shared" si="52"/>
        <v>160</v>
      </c>
      <c r="J130" s="332">
        <f t="shared" ref="J130:J141" si="53">D130*C130</f>
        <v>850</v>
      </c>
      <c r="K130" s="333">
        <f t="shared" si="51"/>
        <v>1050</v>
      </c>
    </row>
    <row r="131" spans="1:11">
      <c r="A131" s="48"/>
      <c r="B131" s="315" t="s">
        <v>120</v>
      </c>
      <c r="C131" s="320">
        <v>6</v>
      </c>
      <c r="D131" s="395">
        <v>850</v>
      </c>
      <c r="E131" s="394">
        <f t="shared" si="48"/>
        <v>680</v>
      </c>
      <c r="F131" s="329"/>
      <c r="G131" s="328">
        <f t="shared" si="50"/>
        <v>0</v>
      </c>
      <c r="H131" s="391">
        <f t="shared" si="52"/>
        <v>-850</v>
      </c>
      <c r="I131" s="392">
        <f t="shared" si="52"/>
        <v>-680</v>
      </c>
      <c r="J131" s="332">
        <f t="shared" si="53"/>
        <v>5100</v>
      </c>
      <c r="K131" s="333">
        <f t="shared" si="51"/>
        <v>0</v>
      </c>
    </row>
    <row r="132" spans="1:11" ht="25.5">
      <c r="A132" s="48"/>
      <c r="B132" s="346" t="s">
        <v>361</v>
      </c>
      <c r="C132" s="347">
        <v>4</v>
      </c>
      <c r="D132" s="348">
        <v>850</v>
      </c>
      <c r="E132" s="334">
        <f t="shared" si="48"/>
        <v>680</v>
      </c>
      <c r="F132" s="335">
        <v>1050</v>
      </c>
      <c r="G132" s="334">
        <f t="shared" si="50"/>
        <v>840</v>
      </c>
      <c r="H132" s="336">
        <f t="shared" si="52"/>
        <v>200</v>
      </c>
      <c r="I132" s="337">
        <f t="shared" si="52"/>
        <v>160</v>
      </c>
      <c r="J132" s="338"/>
      <c r="K132" s="339">
        <f t="shared" si="51"/>
        <v>4200</v>
      </c>
    </row>
    <row r="133" spans="1:11">
      <c r="A133" s="48"/>
      <c r="B133" s="346" t="s">
        <v>360</v>
      </c>
      <c r="C133" s="347">
        <v>4</v>
      </c>
      <c r="D133" s="348">
        <v>425</v>
      </c>
      <c r="E133" s="334">
        <f t="shared" si="48"/>
        <v>340</v>
      </c>
      <c r="F133" s="335">
        <v>1050</v>
      </c>
      <c r="G133" s="334">
        <f t="shared" si="50"/>
        <v>840</v>
      </c>
      <c r="H133" s="336">
        <f t="shared" si="52"/>
        <v>625</v>
      </c>
      <c r="I133" s="337">
        <f t="shared" si="52"/>
        <v>500</v>
      </c>
      <c r="J133" s="338"/>
      <c r="K133" s="339">
        <f t="shared" si="51"/>
        <v>4200</v>
      </c>
    </row>
    <row r="134" spans="1:11">
      <c r="A134" s="48"/>
      <c r="B134" s="315" t="s">
        <v>289</v>
      </c>
      <c r="C134" s="320">
        <v>1</v>
      </c>
      <c r="D134" s="372">
        <v>770</v>
      </c>
      <c r="E134" s="328">
        <f t="shared" si="48"/>
        <v>616</v>
      </c>
      <c r="F134" s="329">
        <f t="shared" si="49"/>
        <v>970</v>
      </c>
      <c r="G134" s="328">
        <f t="shared" si="50"/>
        <v>776</v>
      </c>
      <c r="H134" s="330">
        <f t="shared" si="52"/>
        <v>200</v>
      </c>
      <c r="I134" s="331">
        <f t="shared" si="52"/>
        <v>160</v>
      </c>
      <c r="J134" s="332">
        <f t="shared" si="53"/>
        <v>770</v>
      </c>
      <c r="K134" s="333">
        <f t="shared" si="51"/>
        <v>970</v>
      </c>
    </row>
    <row r="135" spans="1:11">
      <c r="A135" s="48"/>
      <c r="B135" s="315" t="s">
        <v>8</v>
      </c>
      <c r="C135" s="320">
        <v>1</v>
      </c>
      <c r="D135" s="372">
        <v>790</v>
      </c>
      <c r="E135" s="328">
        <f t="shared" si="48"/>
        <v>632</v>
      </c>
      <c r="F135" s="329">
        <f t="shared" si="49"/>
        <v>990</v>
      </c>
      <c r="G135" s="328">
        <f t="shared" si="50"/>
        <v>792</v>
      </c>
      <c r="H135" s="330">
        <f t="shared" si="52"/>
        <v>200</v>
      </c>
      <c r="I135" s="331">
        <f t="shared" si="52"/>
        <v>160</v>
      </c>
      <c r="J135" s="332">
        <f t="shared" si="53"/>
        <v>790</v>
      </c>
      <c r="K135" s="333">
        <f t="shared" si="51"/>
        <v>990</v>
      </c>
    </row>
    <row r="136" spans="1:11">
      <c r="A136" s="48"/>
      <c r="B136" s="315" t="s">
        <v>123</v>
      </c>
      <c r="C136" s="320">
        <v>1</v>
      </c>
      <c r="D136" s="372">
        <v>720</v>
      </c>
      <c r="E136" s="328">
        <f t="shared" si="48"/>
        <v>576</v>
      </c>
      <c r="F136" s="329">
        <f t="shared" si="49"/>
        <v>920</v>
      </c>
      <c r="G136" s="328">
        <f t="shared" si="50"/>
        <v>736</v>
      </c>
      <c r="H136" s="330">
        <f t="shared" si="52"/>
        <v>200</v>
      </c>
      <c r="I136" s="331">
        <f t="shared" si="52"/>
        <v>160</v>
      </c>
      <c r="J136" s="332">
        <f t="shared" si="53"/>
        <v>720</v>
      </c>
      <c r="K136" s="333">
        <f t="shared" si="51"/>
        <v>920</v>
      </c>
    </row>
    <row r="137" spans="1:11">
      <c r="A137" s="48"/>
      <c r="B137" s="315" t="s">
        <v>9</v>
      </c>
      <c r="C137" s="320">
        <v>2</v>
      </c>
      <c r="D137" s="372">
        <v>720</v>
      </c>
      <c r="E137" s="328">
        <f t="shared" si="48"/>
        <v>576</v>
      </c>
      <c r="F137" s="329">
        <f t="shared" si="49"/>
        <v>920</v>
      </c>
      <c r="G137" s="328">
        <f t="shared" si="50"/>
        <v>736</v>
      </c>
      <c r="H137" s="330">
        <f t="shared" si="52"/>
        <v>200</v>
      </c>
      <c r="I137" s="331">
        <f t="shared" si="52"/>
        <v>160</v>
      </c>
      <c r="J137" s="332">
        <f t="shared" si="53"/>
        <v>1440</v>
      </c>
      <c r="K137" s="333">
        <f t="shared" si="51"/>
        <v>1840</v>
      </c>
    </row>
    <row r="138" spans="1:11">
      <c r="A138" s="48"/>
      <c r="B138" s="315" t="s">
        <v>121</v>
      </c>
      <c r="C138" s="320">
        <v>4</v>
      </c>
      <c r="D138" s="372">
        <v>790</v>
      </c>
      <c r="E138" s="328">
        <f t="shared" si="48"/>
        <v>632</v>
      </c>
      <c r="F138" s="329">
        <f>D138+200</f>
        <v>990</v>
      </c>
      <c r="G138" s="328">
        <f t="shared" si="50"/>
        <v>792</v>
      </c>
      <c r="H138" s="330">
        <f t="shared" si="52"/>
        <v>200</v>
      </c>
      <c r="I138" s="331">
        <f t="shared" si="52"/>
        <v>160</v>
      </c>
      <c r="J138" s="332">
        <f t="shared" si="53"/>
        <v>3160</v>
      </c>
      <c r="K138" s="333">
        <f t="shared" si="51"/>
        <v>3960</v>
      </c>
    </row>
    <row r="139" spans="1:11" ht="21.75" customHeight="1">
      <c r="A139" s="48"/>
      <c r="B139" s="318" t="s">
        <v>122</v>
      </c>
      <c r="C139" s="322">
        <v>1</v>
      </c>
      <c r="D139" s="373">
        <v>690</v>
      </c>
      <c r="E139" s="334">
        <f t="shared" si="48"/>
        <v>552</v>
      </c>
      <c r="F139" s="335">
        <f>D139+200</f>
        <v>890</v>
      </c>
      <c r="G139" s="334">
        <f t="shared" si="50"/>
        <v>712</v>
      </c>
      <c r="H139" s="336">
        <f t="shared" si="52"/>
        <v>200</v>
      </c>
      <c r="I139" s="337">
        <f t="shared" si="52"/>
        <v>160</v>
      </c>
      <c r="J139" s="338">
        <f t="shared" si="53"/>
        <v>690</v>
      </c>
      <c r="K139" s="339">
        <f t="shared" si="51"/>
        <v>890</v>
      </c>
    </row>
    <row r="140" spans="1:11">
      <c r="A140" s="48"/>
      <c r="B140" s="318" t="s">
        <v>10</v>
      </c>
      <c r="C140" s="322">
        <v>1</v>
      </c>
      <c r="D140" s="373">
        <v>600</v>
      </c>
      <c r="E140" s="334">
        <f t="shared" si="48"/>
        <v>480</v>
      </c>
      <c r="F140" s="335">
        <f>D140+200</f>
        <v>800</v>
      </c>
      <c r="G140" s="334">
        <f t="shared" si="50"/>
        <v>640</v>
      </c>
      <c r="H140" s="336">
        <f t="shared" si="52"/>
        <v>200</v>
      </c>
      <c r="I140" s="337">
        <f t="shared" si="52"/>
        <v>160</v>
      </c>
      <c r="J140" s="338">
        <f t="shared" si="53"/>
        <v>600</v>
      </c>
      <c r="K140" s="339">
        <f t="shared" si="51"/>
        <v>800</v>
      </c>
    </row>
    <row r="141" spans="1:11" ht="18" customHeight="1" thickBot="1">
      <c r="A141" s="48"/>
      <c r="B141" s="388" t="s">
        <v>11</v>
      </c>
      <c r="C141" s="323">
        <v>1</v>
      </c>
      <c r="D141" s="374">
        <v>580</v>
      </c>
      <c r="E141" s="340">
        <f t="shared" si="48"/>
        <v>464</v>
      </c>
      <c r="F141" s="335">
        <f>D141+200</f>
        <v>780</v>
      </c>
      <c r="G141" s="334">
        <f t="shared" si="50"/>
        <v>624</v>
      </c>
      <c r="H141" s="336">
        <f t="shared" si="52"/>
        <v>200</v>
      </c>
      <c r="I141" s="337">
        <f t="shared" si="52"/>
        <v>160</v>
      </c>
      <c r="J141" s="338">
        <f t="shared" si="53"/>
        <v>580</v>
      </c>
      <c r="K141" s="339">
        <f t="shared" si="51"/>
        <v>780</v>
      </c>
    </row>
    <row r="142" spans="1:11" ht="18" customHeight="1" thickBot="1">
      <c r="A142" s="196">
        <v>9</v>
      </c>
      <c r="B142" s="72" t="s">
        <v>297</v>
      </c>
      <c r="C142" s="66">
        <f>SUM(C144:C156)-C146</f>
        <v>15</v>
      </c>
      <c r="D142" s="67">
        <v>70</v>
      </c>
      <c r="E142" s="67"/>
      <c r="F142" s="207">
        <v>70</v>
      </c>
      <c r="G142" s="241"/>
      <c r="H142" s="241"/>
      <c r="I142" s="241"/>
      <c r="J142" s="134">
        <f>SUM(J144:J156)</f>
        <v>10840</v>
      </c>
      <c r="K142" s="134">
        <f>SUM(K144:K156)</f>
        <v>14690</v>
      </c>
    </row>
    <row r="143" spans="1:11" ht="18" customHeight="1" thickBot="1">
      <c r="A143" s="197"/>
      <c r="B143" s="73" t="s">
        <v>117</v>
      </c>
      <c r="C143" s="772">
        <v>70</v>
      </c>
      <c r="D143" s="773"/>
      <c r="E143" s="773"/>
      <c r="F143" s="773"/>
      <c r="G143" s="773"/>
      <c r="H143" s="773"/>
      <c r="I143" s="773"/>
      <c r="J143" s="773"/>
      <c r="K143" s="774"/>
    </row>
    <row r="144" spans="1:11" ht="18" customHeight="1">
      <c r="A144" s="48"/>
      <c r="B144" s="314" t="s">
        <v>7</v>
      </c>
      <c r="C144" s="319">
        <v>1</v>
      </c>
      <c r="D144" s="371">
        <v>990</v>
      </c>
      <c r="E144" s="324">
        <f t="shared" ref="E144:E156" si="54">D144-D144*0.2</f>
        <v>792</v>
      </c>
      <c r="F144" s="329">
        <f t="shared" ref="F144:F152" si="55">D144+200</f>
        <v>1190</v>
      </c>
      <c r="G144" s="328">
        <f t="shared" ref="G144:G156" si="56">F144-F144*0.2</f>
        <v>952</v>
      </c>
      <c r="H144" s="325">
        <f>F144-D144</f>
        <v>200</v>
      </c>
      <c r="I144" s="324">
        <f>G144-E144</f>
        <v>160</v>
      </c>
      <c r="J144" s="332">
        <f>D144*C144</f>
        <v>990</v>
      </c>
      <c r="K144" s="333">
        <f t="shared" ref="K144:K156" si="57">F144*C144</f>
        <v>1190</v>
      </c>
    </row>
    <row r="145" spans="1:11" ht="18" customHeight="1">
      <c r="A145" s="48"/>
      <c r="B145" s="315" t="s">
        <v>4</v>
      </c>
      <c r="C145" s="320">
        <v>1</v>
      </c>
      <c r="D145" s="372">
        <v>850</v>
      </c>
      <c r="E145" s="328">
        <f t="shared" si="54"/>
        <v>680</v>
      </c>
      <c r="F145" s="329">
        <f t="shared" si="55"/>
        <v>1050</v>
      </c>
      <c r="G145" s="328">
        <f t="shared" si="56"/>
        <v>840</v>
      </c>
      <c r="H145" s="330">
        <f t="shared" ref="H145:I156" si="58">F145-D145</f>
        <v>200</v>
      </c>
      <c r="I145" s="331">
        <f t="shared" si="58"/>
        <v>160</v>
      </c>
      <c r="J145" s="332">
        <f t="shared" ref="J145:J156" si="59">D145*C145</f>
        <v>850</v>
      </c>
      <c r="K145" s="333">
        <f t="shared" si="57"/>
        <v>1050</v>
      </c>
    </row>
    <row r="146" spans="1:11">
      <c r="A146" s="48"/>
      <c r="B146" s="315" t="s">
        <v>120</v>
      </c>
      <c r="C146" s="320">
        <v>3</v>
      </c>
      <c r="D146" s="395">
        <v>850</v>
      </c>
      <c r="E146" s="394">
        <f t="shared" si="54"/>
        <v>680</v>
      </c>
      <c r="F146" s="329"/>
      <c r="G146" s="328">
        <f t="shared" si="56"/>
        <v>0</v>
      </c>
      <c r="H146" s="391">
        <f t="shared" si="58"/>
        <v>-850</v>
      </c>
      <c r="I146" s="392">
        <f t="shared" si="58"/>
        <v>-680</v>
      </c>
      <c r="J146" s="332">
        <f t="shared" si="59"/>
        <v>2550</v>
      </c>
      <c r="K146" s="333">
        <f t="shared" si="57"/>
        <v>0</v>
      </c>
    </row>
    <row r="147" spans="1:11" ht="25.5">
      <c r="A147" s="48"/>
      <c r="B147" s="346" t="s">
        <v>361</v>
      </c>
      <c r="C147" s="347">
        <v>2</v>
      </c>
      <c r="D147" s="348">
        <v>850</v>
      </c>
      <c r="E147" s="334">
        <f t="shared" si="54"/>
        <v>680</v>
      </c>
      <c r="F147" s="335">
        <v>1050</v>
      </c>
      <c r="G147" s="334">
        <f t="shared" si="56"/>
        <v>840</v>
      </c>
      <c r="H147" s="336">
        <f t="shared" si="58"/>
        <v>200</v>
      </c>
      <c r="I147" s="337">
        <f t="shared" si="58"/>
        <v>160</v>
      </c>
      <c r="J147" s="338"/>
      <c r="K147" s="339">
        <f t="shared" si="57"/>
        <v>2100</v>
      </c>
    </row>
    <row r="148" spans="1:11">
      <c r="A148" s="48"/>
      <c r="B148" s="346" t="s">
        <v>360</v>
      </c>
      <c r="C148" s="347">
        <v>2</v>
      </c>
      <c r="D148" s="348">
        <v>425</v>
      </c>
      <c r="E148" s="334">
        <f t="shared" si="54"/>
        <v>340</v>
      </c>
      <c r="F148" s="335">
        <v>1050</v>
      </c>
      <c r="G148" s="334">
        <f t="shared" si="56"/>
        <v>840</v>
      </c>
      <c r="H148" s="336">
        <f t="shared" si="58"/>
        <v>625</v>
      </c>
      <c r="I148" s="337">
        <f t="shared" si="58"/>
        <v>500</v>
      </c>
      <c r="J148" s="338"/>
      <c r="K148" s="339">
        <f t="shared" si="57"/>
        <v>2100</v>
      </c>
    </row>
    <row r="149" spans="1:11">
      <c r="A149" s="48"/>
      <c r="B149" s="315" t="s">
        <v>289</v>
      </c>
      <c r="C149" s="320">
        <v>1</v>
      </c>
      <c r="D149" s="372">
        <v>770</v>
      </c>
      <c r="E149" s="328">
        <f t="shared" si="54"/>
        <v>616</v>
      </c>
      <c r="F149" s="329">
        <f t="shared" si="55"/>
        <v>970</v>
      </c>
      <c r="G149" s="328">
        <f t="shared" si="56"/>
        <v>776</v>
      </c>
      <c r="H149" s="330">
        <f t="shared" si="58"/>
        <v>200</v>
      </c>
      <c r="I149" s="331">
        <f t="shared" si="58"/>
        <v>160</v>
      </c>
      <c r="J149" s="332">
        <f t="shared" si="59"/>
        <v>770</v>
      </c>
      <c r="K149" s="333">
        <f t="shared" si="57"/>
        <v>970</v>
      </c>
    </row>
    <row r="150" spans="1:11">
      <c r="A150" s="48"/>
      <c r="B150" s="315" t="s">
        <v>8</v>
      </c>
      <c r="C150" s="320">
        <v>1</v>
      </c>
      <c r="D150" s="372">
        <v>790</v>
      </c>
      <c r="E150" s="328">
        <f t="shared" si="54"/>
        <v>632</v>
      </c>
      <c r="F150" s="329">
        <f t="shared" si="55"/>
        <v>990</v>
      </c>
      <c r="G150" s="328">
        <f t="shared" si="56"/>
        <v>792</v>
      </c>
      <c r="H150" s="330">
        <f t="shared" si="58"/>
        <v>200</v>
      </c>
      <c r="I150" s="331">
        <f t="shared" si="58"/>
        <v>160</v>
      </c>
      <c r="J150" s="332">
        <f t="shared" si="59"/>
        <v>790</v>
      </c>
      <c r="K150" s="333">
        <f t="shared" si="57"/>
        <v>990</v>
      </c>
    </row>
    <row r="151" spans="1:11">
      <c r="A151" s="48"/>
      <c r="B151" s="315" t="s">
        <v>123</v>
      </c>
      <c r="C151" s="320">
        <v>1</v>
      </c>
      <c r="D151" s="372">
        <v>720</v>
      </c>
      <c r="E151" s="328">
        <f t="shared" si="54"/>
        <v>576</v>
      </c>
      <c r="F151" s="329">
        <f t="shared" si="55"/>
        <v>920</v>
      </c>
      <c r="G151" s="328">
        <f t="shared" si="56"/>
        <v>736</v>
      </c>
      <c r="H151" s="330">
        <f t="shared" si="58"/>
        <v>200</v>
      </c>
      <c r="I151" s="331">
        <f t="shared" si="58"/>
        <v>160</v>
      </c>
      <c r="J151" s="332">
        <f t="shared" si="59"/>
        <v>720</v>
      </c>
      <c r="K151" s="333">
        <f t="shared" si="57"/>
        <v>920</v>
      </c>
    </row>
    <row r="152" spans="1:11">
      <c r="A152" s="48"/>
      <c r="B152" s="315" t="s">
        <v>9</v>
      </c>
      <c r="C152" s="320">
        <v>1</v>
      </c>
      <c r="D152" s="372">
        <v>720</v>
      </c>
      <c r="E152" s="328">
        <f t="shared" si="54"/>
        <v>576</v>
      </c>
      <c r="F152" s="329">
        <f t="shared" si="55"/>
        <v>920</v>
      </c>
      <c r="G152" s="328">
        <f t="shared" si="56"/>
        <v>736</v>
      </c>
      <c r="H152" s="330">
        <f t="shared" si="58"/>
        <v>200</v>
      </c>
      <c r="I152" s="331">
        <f t="shared" si="58"/>
        <v>160</v>
      </c>
      <c r="J152" s="332">
        <f t="shared" si="59"/>
        <v>720</v>
      </c>
      <c r="K152" s="333">
        <f t="shared" si="57"/>
        <v>920</v>
      </c>
    </row>
    <row r="153" spans="1:11">
      <c r="A153" s="48"/>
      <c r="B153" s="315" t="s">
        <v>121</v>
      </c>
      <c r="C153" s="320">
        <v>2</v>
      </c>
      <c r="D153" s="372">
        <v>790</v>
      </c>
      <c r="E153" s="328">
        <f t="shared" si="54"/>
        <v>632</v>
      </c>
      <c r="F153" s="329">
        <f>D153+200</f>
        <v>990</v>
      </c>
      <c r="G153" s="328">
        <f t="shared" si="56"/>
        <v>792</v>
      </c>
      <c r="H153" s="330">
        <f t="shared" si="58"/>
        <v>200</v>
      </c>
      <c r="I153" s="331">
        <f t="shared" si="58"/>
        <v>160</v>
      </c>
      <c r="J153" s="332">
        <f t="shared" si="59"/>
        <v>1580</v>
      </c>
      <c r="K153" s="333">
        <f t="shared" si="57"/>
        <v>1980</v>
      </c>
    </row>
    <row r="154" spans="1:11" ht="25.5" customHeight="1">
      <c r="A154" s="48"/>
      <c r="B154" s="318" t="s">
        <v>122</v>
      </c>
      <c r="C154" s="322">
        <v>1</v>
      </c>
      <c r="D154" s="373">
        <v>690</v>
      </c>
      <c r="E154" s="334">
        <f t="shared" si="54"/>
        <v>552</v>
      </c>
      <c r="F154" s="335">
        <f>D154+200</f>
        <v>890</v>
      </c>
      <c r="G154" s="334">
        <f t="shared" si="56"/>
        <v>712</v>
      </c>
      <c r="H154" s="336">
        <f t="shared" si="58"/>
        <v>200</v>
      </c>
      <c r="I154" s="337">
        <f t="shared" si="58"/>
        <v>160</v>
      </c>
      <c r="J154" s="338">
        <f t="shared" si="59"/>
        <v>690</v>
      </c>
      <c r="K154" s="339">
        <f t="shared" si="57"/>
        <v>890</v>
      </c>
    </row>
    <row r="155" spans="1:11" ht="23.25" customHeight="1">
      <c r="A155" s="48"/>
      <c r="B155" s="318" t="s">
        <v>10</v>
      </c>
      <c r="C155" s="322">
        <v>1</v>
      </c>
      <c r="D155" s="373">
        <v>600</v>
      </c>
      <c r="E155" s="334">
        <f t="shared" si="54"/>
        <v>480</v>
      </c>
      <c r="F155" s="335">
        <f>D155+200</f>
        <v>800</v>
      </c>
      <c r="G155" s="334">
        <f t="shared" si="56"/>
        <v>640</v>
      </c>
      <c r="H155" s="336">
        <f t="shared" si="58"/>
        <v>200</v>
      </c>
      <c r="I155" s="337">
        <f t="shared" si="58"/>
        <v>160</v>
      </c>
      <c r="J155" s="338">
        <f t="shared" si="59"/>
        <v>600</v>
      </c>
      <c r="K155" s="339">
        <f t="shared" si="57"/>
        <v>800</v>
      </c>
    </row>
    <row r="156" spans="1:11" ht="16.5" customHeight="1" thickBot="1">
      <c r="A156" s="48"/>
      <c r="B156" s="388" t="s">
        <v>11</v>
      </c>
      <c r="C156" s="323">
        <v>1</v>
      </c>
      <c r="D156" s="374">
        <v>580</v>
      </c>
      <c r="E156" s="340">
        <f t="shared" si="54"/>
        <v>464</v>
      </c>
      <c r="F156" s="335">
        <f>D156+200</f>
        <v>780</v>
      </c>
      <c r="G156" s="334">
        <f t="shared" si="56"/>
        <v>624</v>
      </c>
      <c r="H156" s="336">
        <f t="shared" si="58"/>
        <v>200</v>
      </c>
      <c r="I156" s="337">
        <f t="shared" si="58"/>
        <v>160</v>
      </c>
      <c r="J156" s="338">
        <f t="shared" si="59"/>
        <v>580</v>
      </c>
      <c r="K156" s="339">
        <f t="shared" si="57"/>
        <v>780</v>
      </c>
    </row>
    <row r="157" spans="1:11" ht="16.5" customHeight="1" thickBot="1">
      <c r="A157" s="196">
        <v>10</v>
      </c>
      <c r="B157" s="72" t="s">
        <v>118</v>
      </c>
      <c r="C157" s="66">
        <f>SUM(C159:C170)-C161</f>
        <v>19</v>
      </c>
      <c r="D157" s="67">
        <v>105</v>
      </c>
      <c r="E157" s="67"/>
      <c r="F157" s="207">
        <v>105</v>
      </c>
      <c r="G157" s="241"/>
      <c r="H157" s="241"/>
      <c r="I157" s="241"/>
      <c r="J157" s="134">
        <f>SUM(J159:J170)</f>
        <v>13435</v>
      </c>
      <c r="K157" s="134">
        <f>SUM(K159:K170)</f>
        <v>18510</v>
      </c>
    </row>
    <row r="158" spans="1:11" ht="16.5" customHeight="1" thickBot="1">
      <c r="A158" s="197"/>
      <c r="B158" s="73" t="s">
        <v>117</v>
      </c>
      <c r="C158" s="772">
        <v>105</v>
      </c>
      <c r="D158" s="773"/>
      <c r="E158" s="773"/>
      <c r="F158" s="773"/>
      <c r="G158" s="773"/>
      <c r="H158" s="773"/>
      <c r="I158" s="773"/>
      <c r="J158" s="773"/>
      <c r="K158" s="774"/>
    </row>
    <row r="159" spans="1:11" ht="16.5" customHeight="1">
      <c r="A159" s="48"/>
      <c r="B159" s="314" t="s">
        <v>7</v>
      </c>
      <c r="C159" s="319">
        <v>1</v>
      </c>
      <c r="D159" s="371">
        <v>990</v>
      </c>
      <c r="E159" s="324">
        <f t="shared" ref="E159:E185" si="60">D159-D159*0.2</f>
        <v>792</v>
      </c>
      <c r="F159" s="329">
        <f t="shared" ref="F159:F166" si="61">D159+200</f>
        <v>1190</v>
      </c>
      <c r="G159" s="328">
        <f t="shared" ref="G159:G185" si="62">F159-F159*0.2</f>
        <v>952</v>
      </c>
      <c r="H159" s="325">
        <f>F159-D159</f>
        <v>200</v>
      </c>
      <c r="I159" s="324">
        <f>G159-E159</f>
        <v>160</v>
      </c>
      <c r="J159" s="332">
        <f t="shared" ref="J159:J170" si="63">D159*C159</f>
        <v>990</v>
      </c>
      <c r="K159" s="333">
        <f t="shared" ref="K159:K165" si="64">F159*C159</f>
        <v>1190</v>
      </c>
    </row>
    <row r="160" spans="1:11" ht="16.5" customHeight="1">
      <c r="A160" s="48"/>
      <c r="B160" s="315" t="s">
        <v>4</v>
      </c>
      <c r="C160" s="320">
        <v>1</v>
      </c>
      <c r="D160" s="372">
        <v>850</v>
      </c>
      <c r="E160" s="328">
        <f t="shared" si="60"/>
        <v>680</v>
      </c>
      <c r="F160" s="329">
        <f t="shared" si="61"/>
        <v>1050</v>
      </c>
      <c r="G160" s="328">
        <f t="shared" si="62"/>
        <v>840</v>
      </c>
      <c r="H160" s="330">
        <f t="shared" ref="H160:I170" si="65">F160-D160</f>
        <v>200</v>
      </c>
      <c r="I160" s="331">
        <f t="shared" si="65"/>
        <v>160</v>
      </c>
      <c r="J160" s="332">
        <f t="shared" si="63"/>
        <v>850</v>
      </c>
      <c r="K160" s="333">
        <f t="shared" si="64"/>
        <v>1050</v>
      </c>
    </row>
    <row r="161" spans="1:11" ht="16.5" customHeight="1">
      <c r="A161" s="48"/>
      <c r="B161" s="315" t="s">
        <v>120</v>
      </c>
      <c r="C161" s="320">
        <v>4.5</v>
      </c>
      <c r="D161" s="395">
        <v>850</v>
      </c>
      <c r="E161" s="394">
        <f t="shared" si="60"/>
        <v>680</v>
      </c>
      <c r="F161" s="329"/>
      <c r="G161" s="328">
        <f t="shared" si="62"/>
        <v>0</v>
      </c>
      <c r="H161" s="391">
        <f t="shared" si="65"/>
        <v>-850</v>
      </c>
      <c r="I161" s="392">
        <f t="shared" si="65"/>
        <v>-680</v>
      </c>
      <c r="J161" s="332">
        <f t="shared" si="63"/>
        <v>3825</v>
      </c>
      <c r="K161" s="333">
        <f t="shared" si="64"/>
        <v>0</v>
      </c>
    </row>
    <row r="162" spans="1:11" ht="16.5" customHeight="1">
      <c r="A162" s="48"/>
      <c r="B162" s="346" t="s">
        <v>361</v>
      </c>
      <c r="C162" s="347">
        <v>3</v>
      </c>
      <c r="D162" s="348">
        <v>850</v>
      </c>
      <c r="E162" s="334">
        <f t="shared" si="60"/>
        <v>680</v>
      </c>
      <c r="F162" s="335">
        <v>1050</v>
      </c>
      <c r="G162" s="334">
        <f t="shared" si="62"/>
        <v>840</v>
      </c>
      <c r="H162" s="336">
        <f t="shared" si="65"/>
        <v>200</v>
      </c>
      <c r="I162" s="337">
        <f t="shared" si="65"/>
        <v>160</v>
      </c>
      <c r="J162" s="338"/>
      <c r="K162" s="339">
        <f t="shared" si="64"/>
        <v>3150</v>
      </c>
    </row>
    <row r="163" spans="1:11" ht="16.5" customHeight="1">
      <c r="A163" s="48"/>
      <c r="B163" s="346" t="s">
        <v>360</v>
      </c>
      <c r="C163" s="347">
        <v>3</v>
      </c>
      <c r="D163" s="348">
        <v>425</v>
      </c>
      <c r="E163" s="334">
        <f t="shared" si="60"/>
        <v>340</v>
      </c>
      <c r="F163" s="335">
        <v>1050</v>
      </c>
      <c r="G163" s="334">
        <f t="shared" si="62"/>
        <v>840</v>
      </c>
      <c r="H163" s="336">
        <f t="shared" si="65"/>
        <v>625</v>
      </c>
      <c r="I163" s="337">
        <f t="shared" si="65"/>
        <v>500</v>
      </c>
      <c r="J163" s="338"/>
      <c r="K163" s="339">
        <f t="shared" si="64"/>
        <v>3150</v>
      </c>
    </row>
    <row r="164" spans="1:11" ht="16.5" customHeight="1">
      <c r="A164" s="48"/>
      <c r="B164" s="315" t="s">
        <v>8</v>
      </c>
      <c r="C164" s="320">
        <v>1</v>
      </c>
      <c r="D164" s="372">
        <v>790</v>
      </c>
      <c r="E164" s="328">
        <f t="shared" si="60"/>
        <v>632</v>
      </c>
      <c r="F164" s="329">
        <f t="shared" si="61"/>
        <v>990</v>
      </c>
      <c r="G164" s="328">
        <f t="shared" si="62"/>
        <v>792</v>
      </c>
      <c r="H164" s="330">
        <f t="shared" si="65"/>
        <v>200</v>
      </c>
      <c r="I164" s="331">
        <f t="shared" si="65"/>
        <v>160</v>
      </c>
      <c r="J164" s="332">
        <f t="shared" si="63"/>
        <v>790</v>
      </c>
      <c r="K164" s="333">
        <f t="shared" si="64"/>
        <v>990</v>
      </c>
    </row>
    <row r="165" spans="1:11" ht="16.5" customHeight="1">
      <c r="A165" s="48"/>
      <c r="B165" s="315" t="s">
        <v>123</v>
      </c>
      <c r="C165" s="320">
        <v>1</v>
      </c>
      <c r="D165" s="372">
        <v>720</v>
      </c>
      <c r="E165" s="328">
        <f t="shared" si="60"/>
        <v>576</v>
      </c>
      <c r="F165" s="329">
        <f t="shared" si="61"/>
        <v>920</v>
      </c>
      <c r="G165" s="328">
        <f t="shared" si="62"/>
        <v>736</v>
      </c>
      <c r="H165" s="330">
        <f t="shared" si="65"/>
        <v>200</v>
      </c>
      <c r="I165" s="331">
        <f t="shared" si="65"/>
        <v>160</v>
      </c>
      <c r="J165" s="332">
        <f t="shared" si="63"/>
        <v>720</v>
      </c>
      <c r="K165" s="333">
        <f t="shared" si="64"/>
        <v>920</v>
      </c>
    </row>
    <row r="166" spans="1:11" ht="16.5" customHeight="1">
      <c r="A166" s="48"/>
      <c r="B166" s="315" t="s">
        <v>9</v>
      </c>
      <c r="C166" s="320">
        <v>2</v>
      </c>
      <c r="D166" s="372">
        <v>720</v>
      </c>
      <c r="E166" s="328">
        <f t="shared" si="60"/>
        <v>576</v>
      </c>
      <c r="F166" s="329">
        <f t="shared" si="61"/>
        <v>920</v>
      </c>
      <c r="G166" s="328">
        <f t="shared" si="62"/>
        <v>736</v>
      </c>
      <c r="H166" s="330">
        <f t="shared" si="65"/>
        <v>200</v>
      </c>
      <c r="I166" s="331">
        <f t="shared" si="65"/>
        <v>160</v>
      </c>
      <c r="J166" s="332">
        <f t="shared" si="63"/>
        <v>1440</v>
      </c>
      <c r="K166" s="333">
        <f>F166*C166</f>
        <v>1840</v>
      </c>
    </row>
    <row r="167" spans="1:11" ht="16.5" customHeight="1">
      <c r="A167" s="48"/>
      <c r="B167" s="315" t="s">
        <v>121</v>
      </c>
      <c r="C167" s="320">
        <v>3</v>
      </c>
      <c r="D167" s="372">
        <v>790</v>
      </c>
      <c r="E167" s="328">
        <f t="shared" si="60"/>
        <v>632</v>
      </c>
      <c r="F167" s="329">
        <f>D167+200</f>
        <v>990</v>
      </c>
      <c r="G167" s="328">
        <f t="shared" si="62"/>
        <v>792</v>
      </c>
      <c r="H167" s="330">
        <f t="shared" si="65"/>
        <v>200</v>
      </c>
      <c r="I167" s="331">
        <f t="shared" si="65"/>
        <v>160</v>
      </c>
      <c r="J167" s="332">
        <f t="shared" si="63"/>
        <v>2370</v>
      </c>
      <c r="K167" s="333">
        <f>F167*C167</f>
        <v>2970</v>
      </c>
    </row>
    <row r="168" spans="1:11" ht="25.5" customHeight="1">
      <c r="A168" s="48"/>
      <c r="B168" s="315" t="s">
        <v>122</v>
      </c>
      <c r="C168" s="320">
        <v>1</v>
      </c>
      <c r="D168" s="373">
        <v>690</v>
      </c>
      <c r="E168" s="334">
        <f t="shared" si="60"/>
        <v>552</v>
      </c>
      <c r="F168" s="335">
        <f>D168+200</f>
        <v>890</v>
      </c>
      <c r="G168" s="334">
        <f t="shared" si="62"/>
        <v>712</v>
      </c>
      <c r="H168" s="336">
        <f t="shared" si="65"/>
        <v>200</v>
      </c>
      <c r="I168" s="337">
        <f t="shared" si="65"/>
        <v>160</v>
      </c>
      <c r="J168" s="338">
        <f t="shared" si="63"/>
        <v>690</v>
      </c>
      <c r="K168" s="339">
        <f>F168*C168</f>
        <v>890</v>
      </c>
    </row>
    <row r="169" spans="1:11" ht="24" customHeight="1">
      <c r="A169" s="48"/>
      <c r="B169" s="318" t="s">
        <v>10</v>
      </c>
      <c r="C169" s="322">
        <v>1</v>
      </c>
      <c r="D169" s="373">
        <v>600</v>
      </c>
      <c r="E169" s="334">
        <f t="shared" si="60"/>
        <v>480</v>
      </c>
      <c r="F169" s="335">
        <f>D169+200</f>
        <v>800</v>
      </c>
      <c r="G169" s="334">
        <f t="shared" si="62"/>
        <v>640</v>
      </c>
      <c r="H169" s="336">
        <f t="shared" si="65"/>
        <v>200</v>
      </c>
      <c r="I169" s="337">
        <f t="shared" si="65"/>
        <v>160</v>
      </c>
      <c r="J169" s="338">
        <f t="shared" si="63"/>
        <v>600</v>
      </c>
      <c r="K169" s="339">
        <f>F169*C169</f>
        <v>800</v>
      </c>
    </row>
    <row r="170" spans="1:11" ht="15.75" thickBot="1">
      <c r="A170" s="48"/>
      <c r="B170" s="318" t="s">
        <v>11</v>
      </c>
      <c r="C170" s="322">
        <f>1+1</f>
        <v>2</v>
      </c>
      <c r="D170" s="374">
        <v>580</v>
      </c>
      <c r="E170" s="340">
        <f t="shared" si="60"/>
        <v>464</v>
      </c>
      <c r="F170" s="335">
        <f>D170+200</f>
        <v>780</v>
      </c>
      <c r="G170" s="334">
        <f t="shared" si="62"/>
        <v>624</v>
      </c>
      <c r="H170" s="336">
        <f t="shared" si="65"/>
        <v>200</v>
      </c>
      <c r="I170" s="337">
        <f t="shared" si="65"/>
        <v>160</v>
      </c>
      <c r="J170" s="338">
        <f t="shared" si="63"/>
        <v>1160</v>
      </c>
      <c r="K170" s="339">
        <f>F170*C170</f>
        <v>1560</v>
      </c>
    </row>
    <row r="171" spans="1:11" ht="16.5" thickBot="1">
      <c r="A171" s="196">
        <v>11</v>
      </c>
      <c r="B171" s="72" t="s">
        <v>298</v>
      </c>
      <c r="C171" s="66">
        <f>SUM(C173:C185)-C175</f>
        <v>19</v>
      </c>
      <c r="D171" s="67">
        <v>105</v>
      </c>
      <c r="E171" s="241"/>
      <c r="F171" s="207">
        <v>105</v>
      </c>
      <c r="G171" s="241"/>
      <c r="H171" s="241"/>
      <c r="I171" s="241"/>
      <c r="J171" s="134">
        <f>SUM(J173:J185)</f>
        <v>13625</v>
      </c>
      <c r="K171" s="134">
        <f>SUM(K173:K185)</f>
        <v>18700</v>
      </c>
    </row>
    <row r="172" spans="1:11" ht="15.75" thickBot="1">
      <c r="A172" s="197"/>
      <c r="B172" s="73" t="s">
        <v>116</v>
      </c>
      <c r="C172" s="772">
        <v>105</v>
      </c>
      <c r="D172" s="773"/>
      <c r="E172" s="773"/>
      <c r="F172" s="773"/>
      <c r="G172" s="773"/>
      <c r="H172" s="773"/>
      <c r="I172" s="773"/>
      <c r="J172" s="773"/>
      <c r="K172" s="774"/>
    </row>
    <row r="173" spans="1:11" ht="16.5" customHeight="1">
      <c r="A173" s="48"/>
      <c r="B173" s="314" t="s">
        <v>7</v>
      </c>
      <c r="C173" s="319">
        <v>1</v>
      </c>
      <c r="D173" s="371">
        <v>990</v>
      </c>
      <c r="E173" s="324">
        <f t="shared" si="60"/>
        <v>792</v>
      </c>
      <c r="F173" s="329">
        <f t="shared" ref="F173:F181" si="66">D173+200</f>
        <v>1190</v>
      </c>
      <c r="G173" s="328">
        <f t="shared" si="62"/>
        <v>952</v>
      </c>
      <c r="H173" s="325">
        <f>F173-D173</f>
        <v>200</v>
      </c>
      <c r="I173" s="324">
        <f>G173-E173</f>
        <v>160</v>
      </c>
      <c r="J173" s="332">
        <f>D173*C173</f>
        <v>990</v>
      </c>
      <c r="K173" s="333">
        <f t="shared" ref="K173:K183" si="67">F173*C173</f>
        <v>1190</v>
      </c>
    </row>
    <row r="174" spans="1:11" ht="16.5" customHeight="1">
      <c r="A174" s="48"/>
      <c r="B174" s="315" t="s">
        <v>4</v>
      </c>
      <c r="C174" s="320">
        <v>1</v>
      </c>
      <c r="D174" s="372">
        <v>850</v>
      </c>
      <c r="E174" s="328">
        <f t="shared" si="60"/>
        <v>680</v>
      </c>
      <c r="F174" s="329">
        <f t="shared" si="66"/>
        <v>1050</v>
      </c>
      <c r="G174" s="328">
        <f t="shared" si="62"/>
        <v>840</v>
      </c>
      <c r="H174" s="330">
        <f t="shared" ref="H174:I185" si="68">F174-D174</f>
        <v>200</v>
      </c>
      <c r="I174" s="331">
        <f t="shared" si="68"/>
        <v>160</v>
      </c>
      <c r="J174" s="332">
        <f t="shared" ref="J174:J183" si="69">D174*C174</f>
        <v>850</v>
      </c>
      <c r="K174" s="333">
        <f t="shared" si="67"/>
        <v>1050</v>
      </c>
    </row>
    <row r="175" spans="1:11">
      <c r="A175" s="48"/>
      <c r="B175" s="315" t="s">
        <v>120</v>
      </c>
      <c r="C175" s="320">
        <v>4.5</v>
      </c>
      <c r="D175" s="395">
        <v>850</v>
      </c>
      <c r="E175" s="394">
        <f t="shared" si="60"/>
        <v>680</v>
      </c>
      <c r="F175" s="329"/>
      <c r="G175" s="328">
        <f t="shared" si="62"/>
        <v>0</v>
      </c>
      <c r="H175" s="391">
        <f t="shared" si="68"/>
        <v>-850</v>
      </c>
      <c r="I175" s="392">
        <f t="shared" si="68"/>
        <v>-680</v>
      </c>
      <c r="J175" s="332">
        <f t="shared" si="69"/>
        <v>3825</v>
      </c>
      <c r="K175" s="333">
        <f t="shared" si="67"/>
        <v>0</v>
      </c>
    </row>
    <row r="176" spans="1:11" ht="25.5">
      <c r="A176" s="48"/>
      <c r="B176" s="346" t="s">
        <v>361</v>
      </c>
      <c r="C176" s="347">
        <v>3</v>
      </c>
      <c r="D176" s="348">
        <v>850</v>
      </c>
      <c r="E176" s="334">
        <f t="shared" si="60"/>
        <v>680</v>
      </c>
      <c r="F176" s="335">
        <v>1050</v>
      </c>
      <c r="G176" s="334">
        <f t="shared" si="62"/>
        <v>840</v>
      </c>
      <c r="H176" s="336">
        <f t="shared" si="68"/>
        <v>200</v>
      </c>
      <c r="I176" s="337">
        <f t="shared" si="68"/>
        <v>160</v>
      </c>
      <c r="J176" s="338"/>
      <c r="K176" s="339">
        <f t="shared" si="67"/>
        <v>3150</v>
      </c>
    </row>
    <row r="177" spans="1:11">
      <c r="A177" s="48"/>
      <c r="B177" s="346" t="s">
        <v>360</v>
      </c>
      <c r="C177" s="347">
        <v>3</v>
      </c>
      <c r="D177" s="348">
        <v>425</v>
      </c>
      <c r="E177" s="334">
        <f t="shared" si="60"/>
        <v>340</v>
      </c>
      <c r="F177" s="335">
        <v>1050</v>
      </c>
      <c r="G177" s="334">
        <f t="shared" si="62"/>
        <v>840</v>
      </c>
      <c r="H177" s="336">
        <f t="shared" si="68"/>
        <v>625</v>
      </c>
      <c r="I177" s="337">
        <f t="shared" si="68"/>
        <v>500</v>
      </c>
      <c r="J177" s="338"/>
      <c r="K177" s="339">
        <f t="shared" si="67"/>
        <v>3150</v>
      </c>
    </row>
    <row r="178" spans="1:11">
      <c r="A178" s="48"/>
      <c r="B178" s="315" t="s">
        <v>8</v>
      </c>
      <c r="C178" s="320">
        <v>1</v>
      </c>
      <c r="D178" s="372">
        <v>790</v>
      </c>
      <c r="E178" s="328">
        <f t="shared" si="60"/>
        <v>632</v>
      </c>
      <c r="F178" s="329">
        <f t="shared" si="66"/>
        <v>990</v>
      </c>
      <c r="G178" s="328">
        <f t="shared" si="62"/>
        <v>792</v>
      </c>
      <c r="H178" s="330">
        <f t="shared" si="68"/>
        <v>200</v>
      </c>
      <c r="I178" s="331">
        <f t="shared" si="68"/>
        <v>160</v>
      </c>
      <c r="J178" s="332">
        <f t="shared" si="69"/>
        <v>790</v>
      </c>
      <c r="K178" s="333">
        <f t="shared" si="67"/>
        <v>990</v>
      </c>
    </row>
    <row r="179" spans="1:11" ht="20.25" customHeight="1">
      <c r="A179" s="48"/>
      <c r="B179" s="315" t="s">
        <v>289</v>
      </c>
      <c r="C179" s="320">
        <v>1</v>
      </c>
      <c r="D179" s="372">
        <v>770</v>
      </c>
      <c r="E179" s="328">
        <f t="shared" si="60"/>
        <v>616</v>
      </c>
      <c r="F179" s="329">
        <f t="shared" si="66"/>
        <v>970</v>
      </c>
      <c r="G179" s="328">
        <f t="shared" si="62"/>
        <v>776</v>
      </c>
      <c r="H179" s="330">
        <f t="shared" si="68"/>
        <v>200</v>
      </c>
      <c r="I179" s="331">
        <f t="shared" si="68"/>
        <v>160</v>
      </c>
      <c r="J179" s="332">
        <f t="shared" si="69"/>
        <v>770</v>
      </c>
      <c r="K179" s="333">
        <f t="shared" si="67"/>
        <v>970</v>
      </c>
    </row>
    <row r="180" spans="1:11">
      <c r="A180" s="48"/>
      <c r="B180" s="315" t="s">
        <v>123</v>
      </c>
      <c r="C180" s="320">
        <v>1</v>
      </c>
      <c r="D180" s="372">
        <v>720</v>
      </c>
      <c r="E180" s="328">
        <f t="shared" si="60"/>
        <v>576</v>
      </c>
      <c r="F180" s="329">
        <f t="shared" si="66"/>
        <v>920</v>
      </c>
      <c r="G180" s="328">
        <f t="shared" si="62"/>
        <v>736</v>
      </c>
      <c r="H180" s="330">
        <f t="shared" si="68"/>
        <v>200</v>
      </c>
      <c r="I180" s="331">
        <f t="shared" si="68"/>
        <v>160</v>
      </c>
      <c r="J180" s="332">
        <f t="shared" si="69"/>
        <v>720</v>
      </c>
      <c r="K180" s="333">
        <f t="shared" si="67"/>
        <v>920</v>
      </c>
    </row>
    <row r="181" spans="1:11">
      <c r="A181" s="48"/>
      <c r="B181" s="315" t="s">
        <v>9</v>
      </c>
      <c r="C181" s="320">
        <v>2</v>
      </c>
      <c r="D181" s="372">
        <v>720</v>
      </c>
      <c r="E181" s="328">
        <f t="shared" si="60"/>
        <v>576</v>
      </c>
      <c r="F181" s="329">
        <f t="shared" si="66"/>
        <v>920</v>
      </c>
      <c r="G181" s="328">
        <f t="shared" si="62"/>
        <v>736</v>
      </c>
      <c r="H181" s="330">
        <f t="shared" si="68"/>
        <v>200</v>
      </c>
      <c r="I181" s="331">
        <f t="shared" si="68"/>
        <v>160</v>
      </c>
      <c r="J181" s="332">
        <f t="shared" si="69"/>
        <v>1440</v>
      </c>
      <c r="K181" s="333">
        <f t="shared" si="67"/>
        <v>1840</v>
      </c>
    </row>
    <row r="182" spans="1:11">
      <c r="A182" s="48"/>
      <c r="B182" s="315" t="s">
        <v>121</v>
      </c>
      <c r="C182" s="320">
        <v>3</v>
      </c>
      <c r="D182" s="372">
        <v>790</v>
      </c>
      <c r="E182" s="328">
        <f t="shared" si="60"/>
        <v>632</v>
      </c>
      <c r="F182" s="329">
        <f>D182+200</f>
        <v>990</v>
      </c>
      <c r="G182" s="328">
        <f t="shared" si="62"/>
        <v>792</v>
      </c>
      <c r="H182" s="330">
        <f t="shared" si="68"/>
        <v>200</v>
      </c>
      <c r="I182" s="331">
        <f t="shared" si="68"/>
        <v>160</v>
      </c>
      <c r="J182" s="332">
        <f>D182*C182</f>
        <v>2370</v>
      </c>
      <c r="K182" s="333">
        <f>F182*C182</f>
        <v>2970</v>
      </c>
    </row>
    <row r="183" spans="1:11" ht="25.5" customHeight="1">
      <c r="A183" s="48"/>
      <c r="B183" s="318" t="s">
        <v>122</v>
      </c>
      <c r="C183" s="322">
        <v>1</v>
      </c>
      <c r="D183" s="373">
        <v>690</v>
      </c>
      <c r="E183" s="334">
        <f t="shared" si="60"/>
        <v>552</v>
      </c>
      <c r="F183" s="335">
        <f>D183+200</f>
        <v>890</v>
      </c>
      <c r="G183" s="334">
        <f t="shared" si="62"/>
        <v>712</v>
      </c>
      <c r="H183" s="336">
        <f t="shared" si="68"/>
        <v>200</v>
      </c>
      <c r="I183" s="337">
        <f t="shared" si="68"/>
        <v>160</v>
      </c>
      <c r="J183" s="338">
        <f t="shared" si="69"/>
        <v>690</v>
      </c>
      <c r="K183" s="339">
        <f t="shared" si="67"/>
        <v>890</v>
      </c>
    </row>
    <row r="184" spans="1:11" ht="21.75" customHeight="1">
      <c r="A184" s="48"/>
      <c r="B184" s="318" t="s">
        <v>10</v>
      </c>
      <c r="C184" s="322">
        <v>1</v>
      </c>
      <c r="D184" s="373">
        <v>600</v>
      </c>
      <c r="E184" s="334">
        <f t="shared" si="60"/>
        <v>480</v>
      </c>
      <c r="F184" s="335">
        <f>D184+200</f>
        <v>800</v>
      </c>
      <c r="G184" s="334">
        <f t="shared" si="62"/>
        <v>640</v>
      </c>
      <c r="H184" s="336">
        <f t="shared" si="68"/>
        <v>200</v>
      </c>
      <c r="I184" s="337">
        <f t="shared" si="68"/>
        <v>160</v>
      </c>
      <c r="J184" s="338">
        <f>D184*C184</f>
        <v>600</v>
      </c>
      <c r="K184" s="339">
        <f>F184*C184</f>
        <v>800</v>
      </c>
    </row>
    <row r="185" spans="1:11" ht="18.75" customHeight="1" thickBot="1">
      <c r="A185" s="48"/>
      <c r="B185" s="318" t="s">
        <v>11</v>
      </c>
      <c r="C185" s="322">
        <v>1</v>
      </c>
      <c r="D185" s="374">
        <v>580</v>
      </c>
      <c r="E185" s="340">
        <f t="shared" si="60"/>
        <v>464</v>
      </c>
      <c r="F185" s="335">
        <f>D185+200</f>
        <v>780</v>
      </c>
      <c r="G185" s="334">
        <f t="shared" si="62"/>
        <v>624</v>
      </c>
      <c r="H185" s="336">
        <f t="shared" si="68"/>
        <v>200</v>
      </c>
      <c r="I185" s="337">
        <f t="shared" si="68"/>
        <v>160</v>
      </c>
      <c r="J185" s="338">
        <f>D185*C185</f>
        <v>580</v>
      </c>
      <c r="K185" s="339">
        <f>F185*C185</f>
        <v>780</v>
      </c>
    </row>
    <row r="186" spans="1:11" ht="16.5" thickBot="1">
      <c r="A186" s="196">
        <v>12</v>
      </c>
      <c r="B186" s="72" t="s">
        <v>299</v>
      </c>
      <c r="C186" s="66">
        <f>SUM(C188:C200)-C190</f>
        <v>20</v>
      </c>
      <c r="D186" s="67">
        <v>105</v>
      </c>
      <c r="E186" s="67"/>
      <c r="F186" s="207">
        <v>70</v>
      </c>
      <c r="G186" s="241"/>
      <c r="H186" s="241"/>
      <c r="I186" s="241"/>
      <c r="J186" s="134">
        <f>SUM(J188:J200)</f>
        <v>14205</v>
      </c>
      <c r="K186" s="134">
        <f>SUM(K188:K200)</f>
        <v>19480</v>
      </c>
    </row>
    <row r="187" spans="1:11" ht="19.5" customHeight="1" thickBot="1">
      <c r="A187" s="197"/>
      <c r="B187" s="73" t="s">
        <v>117</v>
      </c>
      <c r="C187" s="772">
        <v>105</v>
      </c>
      <c r="D187" s="773"/>
      <c r="E187" s="773"/>
      <c r="F187" s="773"/>
      <c r="G187" s="773"/>
      <c r="H187" s="773"/>
      <c r="I187" s="773"/>
      <c r="J187" s="773"/>
      <c r="K187" s="774"/>
    </row>
    <row r="188" spans="1:11" ht="16.5" customHeight="1">
      <c r="A188" s="48"/>
      <c r="B188" s="314" t="s">
        <v>7</v>
      </c>
      <c r="C188" s="319">
        <v>1</v>
      </c>
      <c r="D188" s="371">
        <v>990</v>
      </c>
      <c r="E188" s="324">
        <f t="shared" ref="E188:E200" si="70">D188-D188*0.2</f>
        <v>792</v>
      </c>
      <c r="F188" s="329">
        <f t="shared" ref="F188:F196" si="71">D188+200</f>
        <v>1190</v>
      </c>
      <c r="G188" s="328">
        <f t="shared" ref="G188:G200" si="72">F188-F188*0.2</f>
        <v>952</v>
      </c>
      <c r="H188" s="325">
        <f>F188-D188</f>
        <v>200</v>
      </c>
      <c r="I188" s="324">
        <f>G188-E188</f>
        <v>160</v>
      </c>
      <c r="J188" s="332">
        <f>D188*C188</f>
        <v>990</v>
      </c>
      <c r="K188" s="333">
        <f t="shared" ref="K188:K200" si="73">F188*C188</f>
        <v>1190</v>
      </c>
    </row>
    <row r="189" spans="1:11" ht="16.5" customHeight="1">
      <c r="A189" s="48"/>
      <c r="B189" s="315" t="s">
        <v>4</v>
      </c>
      <c r="C189" s="320">
        <v>1</v>
      </c>
      <c r="D189" s="372">
        <v>850</v>
      </c>
      <c r="E189" s="328">
        <f t="shared" si="70"/>
        <v>680</v>
      </c>
      <c r="F189" s="329">
        <f t="shared" si="71"/>
        <v>1050</v>
      </c>
      <c r="G189" s="328">
        <f t="shared" si="72"/>
        <v>840</v>
      </c>
      <c r="H189" s="330">
        <f t="shared" ref="H189:I200" si="74">F189-D189</f>
        <v>200</v>
      </c>
      <c r="I189" s="331">
        <f t="shared" si="74"/>
        <v>160</v>
      </c>
      <c r="J189" s="332">
        <f t="shared" ref="J189:J200" si="75">D189*C189</f>
        <v>850</v>
      </c>
      <c r="K189" s="333">
        <f t="shared" si="73"/>
        <v>1050</v>
      </c>
    </row>
    <row r="190" spans="1:11" ht="21" customHeight="1">
      <c r="A190" s="48"/>
      <c r="B190" s="315" t="s">
        <v>120</v>
      </c>
      <c r="C190" s="320">
        <v>4.5</v>
      </c>
      <c r="D190" s="395">
        <v>850</v>
      </c>
      <c r="E190" s="394">
        <f t="shared" si="70"/>
        <v>680</v>
      </c>
      <c r="F190" s="329"/>
      <c r="G190" s="328">
        <f t="shared" si="72"/>
        <v>0</v>
      </c>
      <c r="H190" s="391">
        <f t="shared" si="74"/>
        <v>-850</v>
      </c>
      <c r="I190" s="392">
        <f t="shared" si="74"/>
        <v>-680</v>
      </c>
      <c r="J190" s="332">
        <f t="shared" si="75"/>
        <v>3825</v>
      </c>
      <c r="K190" s="333">
        <f t="shared" si="73"/>
        <v>0</v>
      </c>
    </row>
    <row r="191" spans="1:11" ht="25.5">
      <c r="A191" s="48"/>
      <c r="B191" s="346" t="s">
        <v>361</v>
      </c>
      <c r="C191" s="347">
        <v>3</v>
      </c>
      <c r="D191" s="348">
        <v>850</v>
      </c>
      <c r="E191" s="334">
        <f t="shared" si="70"/>
        <v>680</v>
      </c>
      <c r="F191" s="335">
        <v>1050</v>
      </c>
      <c r="G191" s="334">
        <f t="shared" si="72"/>
        <v>840</v>
      </c>
      <c r="H191" s="336">
        <f t="shared" si="74"/>
        <v>200</v>
      </c>
      <c r="I191" s="337">
        <f t="shared" si="74"/>
        <v>160</v>
      </c>
      <c r="J191" s="338"/>
      <c r="K191" s="339">
        <f t="shared" si="73"/>
        <v>3150</v>
      </c>
    </row>
    <row r="192" spans="1:11">
      <c r="A192" s="48"/>
      <c r="B192" s="346" t="s">
        <v>360</v>
      </c>
      <c r="C192" s="347">
        <v>3</v>
      </c>
      <c r="D192" s="348">
        <v>425</v>
      </c>
      <c r="E192" s="334">
        <f t="shared" si="70"/>
        <v>340</v>
      </c>
      <c r="F192" s="335">
        <v>1050</v>
      </c>
      <c r="G192" s="334">
        <f t="shared" si="72"/>
        <v>840</v>
      </c>
      <c r="H192" s="336">
        <f t="shared" si="74"/>
        <v>625</v>
      </c>
      <c r="I192" s="337">
        <f t="shared" si="74"/>
        <v>500</v>
      </c>
      <c r="J192" s="338"/>
      <c r="K192" s="339">
        <f t="shared" si="73"/>
        <v>3150</v>
      </c>
    </row>
    <row r="193" spans="1:11">
      <c r="A193" s="48"/>
      <c r="B193" s="315" t="s">
        <v>289</v>
      </c>
      <c r="C193" s="320">
        <v>1</v>
      </c>
      <c r="D193" s="372">
        <v>770</v>
      </c>
      <c r="E193" s="328">
        <f t="shared" si="70"/>
        <v>616</v>
      </c>
      <c r="F193" s="329">
        <f t="shared" si="71"/>
        <v>970</v>
      </c>
      <c r="G193" s="328">
        <f t="shared" si="72"/>
        <v>776</v>
      </c>
      <c r="H193" s="330">
        <f t="shared" si="74"/>
        <v>200</v>
      </c>
      <c r="I193" s="331">
        <f t="shared" si="74"/>
        <v>160</v>
      </c>
      <c r="J193" s="332">
        <f t="shared" si="75"/>
        <v>770</v>
      </c>
      <c r="K193" s="333">
        <f t="shared" si="73"/>
        <v>970</v>
      </c>
    </row>
    <row r="194" spans="1:11">
      <c r="A194" s="48"/>
      <c r="B194" s="315" t="s">
        <v>8</v>
      </c>
      <c r="C194" s="320">
        <v>1</v>
      </c>
      <c r="D194" s="372">
        <v>790</v>
      </c>
      <c r="E194" s="328">
        <f t="shared" si="70"/>
        <v>632</v>
      </c>
      <c r="F194" s="329">
        <f t="shared" si="71"/>
        <v>990</v>
      </c>
      <c r="G194" s="328">
        <f t="shared" si="72"/>
        <v>792</v>
      </c>
      <c r="H194" s="330">
        <f t="shared" si="74"/>
        <v>200</v>
      </c>
      <c r="I194" s="331">
        <f t="shared" si="74"/>
        <v>160</v>
      </c>
      <c r="J194" s="332">
        <f t="shared" si="75"/>
        <v>790</v>
      </c>
      <c r="K194" s="333">
        <f t="shared" si="73"/>
        <v>990</v>
      </c>
    </row>
    <row r="195" spans="1:11">
      <c r="A195" s="48"/>
      <c r="B195" s="315" t="s">
        <v>123</v>
      </c>
      <c r="C195" s="320">
        <v>1</v>
      </c>
      <c r="D195" s="372">
        <v>720</v>
      </c>
      <c r="E195" s="328">
        <f t="shared" si="70"/>
        <v>576</v>
      </c>
      <c r="F195" s="329">
        <f t="shared" si="71"/>
        <v>920</v>
      </c>
      <c r="G195" s="328">
        <f t="shared" si="72"/>
        <v>736</v>
      </c>
      <c r="H195" s="330">
        <f t="shared" si="74"/>
        <v>200</v>
      </c>
      <c r="I195" s="331">
        <f t="shared" si="74"/>
        <v>160</v>
      </c>
      <c r="J195" s="332">
        <f t="shared" si="75"/>
        <v>720</v>
      </c>
      <c r="K195" s="333">
        <f t="shared" si="73"/>
        <v>920</v>
      </c>
    </row>
    <row r="196" spans="1:11">
      <c r="A196" s="48"/>
      <c r="B196" s="315" t="s">
        <v>9</v>
      </c>
      <c r="C196" s="320">
        <v>2</v>
      </c>
      <c r="D196" s="372">
        <v>720</v>
      </c>
      <c r="E196" s="328">
        <f t="shared" si="70"/>
        <v>576</v>
      </c>
      <c r="F196" s="329">
        <f t="shared" si="71"/>
        <v>920</v>
      </c>
      <c r="G196" s="328">
        <f t="shared" si="72"/>
        <v>736</v>
      </c>
      <c r="H196" s="330">
        <f t="shared" si="74"/>
        <v>200</v>
      </c>
      <c r="I196" s="331">
        <f t="shared" si="74"/>
        <v>160</v>
      </c>
      <c r="J196" s="332">
        <f t="shared" si="75"/>
        <v>1440</v>
      </c>
      <c r="K196" s="333">
        <f t="shared" si="73"/>
        <v>1840</v>
      </c>
    </row>
    <row r="197" spans="1:11">
      <c r="A197" s="48"/>
      <c r="B197" s="315" t="s">
        <v>121</v>
      </c>
      <c r="C197" s="320">
        <v>3</v>
      </c>
      <c r="D197" s="372">
        <v>790</v>
      </c>
      <c r="E197" s="328">
        <f t="shared" si="70"/>
        <v>632</v>
      </c>
      <c r="F197" s="329">
        <f>D197+200</f>
        <v>990</v>
      </c>
      <c r="G197" s="328">
        <f t="shared" si="72"/>
        <v>792</v>
      </c>
      <c r="H197" s="330">
        <f t="shared" si="74"/>
        <v>200</v>
      </c>
      <c r="I197" s="331">
        <f t="shared" si="74"/>
        <v>160</v>
      </c>
      <c r="J197" s="332">
        <f t="shared" si="75"/>
        <v>2370</v>
      </c>
      <c r="K197" s="333">
        <f t="shared" si="73"/>
        <v>2970</v>
      </c>
    </row>
    <row r="198" spans="1:11" ht="30" customHeight="1">
      <c r="A198" s="48"/>
      <c r="B198" s="318" t="s">
        <v>122</v>
      </c>
      <c r="C198" s="322">
        <v>1</v>
      </c>
      <c r="D198" s="373">
        <v>690</v>
      </c>
      <c r="E198" s="334">
        <f t="shared" si="70"/>
        <v>552</v>
      </c>
      <c r="F198" s="335">
        <f>D198+200</f>
        <v>890</v>
      </c>
      <c r="G198" s="334">
        <f t="shared" si="72"/>
        <v>712</v>
      </c>
      <c r="H198" s="336">
        <f t="shared" si="74"/>
        <v>200</v>
      </c>
      <c r="I198" s="337">
        <f t="shared" si="74"/>
        <v>160</v>
      </c>
      <c r="J198" s="338">
        <f t="shared" si="75"/>
        <v>690</v>
      </c>
      <c r="K198" s="339">
        <f t="shared" si="73"/>
        <v>890</v>
      </c>
    </row>
    <row r="199" spans="1:11" ht="23.25" customHeight="1">
      <c r="A199" s="48"/>
      <c r="B199" s="318" t="s">
        <v>10</v>
      </c>
      <c r="C199" s="322">
        <v>1</v>
      </c>
      <c r="D199" s="373">
        <v>600</v>
      </c>
      <c r="E199" s="334">
        <f t="shared" si="70"/>
        <v>480</v>
      </c>
      <c r="F199" s="335">
        <f>D199+200</f>
        <v>800</v>
      </c>
      <c r="G199" s="334">
        <f t="shared" si="72"/>
        <v>640</v>
      </c>
      <c r="H199" s="336">
        <f t="shared" si="74"/>
        <v>200</v>
      </c>
      <c r="I199" s="337">
        <f t="shared" si="74"/>
        <v>160</v>
      </c>
      <c r="J199" s="338">
        <f t="shared" si="75"/>
        <v>600</v>
      </c>
      <c r="K199" s="339">
        <f t="shared" si="73"/>
        <v>800</v>
      </c>
    </row>
    <row r="200" spans="1:11" ht="15.75" thickBot="1">
      <c r="A200" s="48"/>
      <c r="B200" s="318" t="s">
        <v>11</v>
      </c>
      <c r="C200" s="322">
        <v>2</v>
      </c>
      <c r="D200" s="374">
        <v>580</v>
      </c>
      <c r="E200" s="340">
        <f t="shared" si="70"/>
        <v>464</v>
      </c>
      <c r="F200" s="335">
        <f>D200+200</f>
        <v>780</v>
      </c>
      <c r="G200" s="334">
        <f t="shared" si="72"/>
        <v>624</v>
      </c>
      <c r="H200" s="336">
        <f t="shared" si="74"/>
        <v>200</v>
      </c>
      <c r="I200" s="337">
        <f t="shared" si="74"/>
        <v>160</v>
      </c>
      <c r="J200" s="338">
        <f t="shared" si="75"/>
        <v>1160</v>
      </c>
      <c r="K200" s="339">
        <f t="shared" si="73"/>
        <v>1560</v>
      </c>
    </row>
    <row r="201" spans="1:11" ht="16.5" thickBot="1">
      <c r="A201" s="196">
        <v>13</v>
      </c>
      <c r="B201" s="74" t="s">
        <v>300</v>
      </c>
      <c r="C201" s="66">
        <f>SUM(C203:C215)-C205</f>
        <v>19</v>
      </c>
      <c r="D201" s="67">
        <v>105</v>
      </c>
      <c r="E201" s="67"/>
      <c r="F201" s="207">
        <v>105</v>
      </c>
      <c r="G201" s="241"/>
      <c r="H201" s="241"/>
      <c r="I201" s="241"/>
      <c r="J201" s="134">
        <f>SUM(J203:J215)</f>
        <v>13625</v>
      </c>
      <c r="K201" s="134">
        <f>SUM(K203:K215)</f>
        <v>18700</v>
      </c>
    </row>
    <row r="202" spans="1:11" ht="19.5" customHeight="1" thickBot="1">
      <c r="A202" s="197"/>
      <c r="B202" s="74" t="s">
        <v>113</v>
      </c>
      <c r="C202" s="772">
        <v>105</v>
      </c>
      <c r="D202" s="773"/>
      <c r="E202" s="773"/>
      <c r="F202" s="773"/>
      <c r="G202" s="773"/>
      <c r="H202" s="773"/>
      <c r="I202" s="773"/>
      <c r="J202" s="773"/>
      <c r="K202" s="774"/>
    </row>
    <row r="203" spans="1:11" ht="16.5" customHeight="1">
      <c r="A203" s="48"/>
      <c r="B203" s="314" t="s">
        <v>7</v>
      </c>
      <c r="C203" s="319">
        <v>1</v>
      </c>
      <c r="D203" s="371">
        <v>990</v>
      </c>
      <c r="E203" s="324">
        <f t="shared" ref="E203:E215" si="76">D203-D203*0.2</f>
        <v>792</v>
      </c>
      <c r="F203" s="329">
        <f t="shared" ref="F203:F211" si="77">D203+200</f>
        <v>1190</v>
      </c>
      <c r="G203" s="328">
        <f t="shared" ref="G203:G215" si="78">F203-F203*0.2</f>
        <v>952</v>
      </c>
      <c r="H203" s="325">
        <f>F203-D203</f>
        <v>200</v>
      </c>
      <c r="I203" s="324">
        <f>G203-E203</f>
        <v>160</v>
      </c>
      <c r="J203" s="332">
        <f>D203*C203</f>
        <v>990</v>
      </c>
      <c r="K203" s="333">
        <f t="shared" ref="K203:K215" si="79">F203*C203</f>
        <v>1190</v>
      </c>
    </row>
    <row r="204" spans="1:11" ht="16.5" customHeight="1">
      <c r="A204" s="48"/>
      <c r="B204" s="315" t="s">
        <v>4</v>
      </c>
      <c r="C204" s="320">
        <v>1</v>
      </c>
      <c r="D204" s="372">
        <v>850</v>
      </c>
      <c r="E204" s="328">
        <f t="shared" si="76"/>
        <v>680</v>
      </c>
      <c r="F204" s="329">
        <f t="shared" si="77"/>
        <v>1050</v>
      </c>
      <c r="G204" s="328">
        <f t="shared" si="78"/>
        <v>840</v>
      </c>
      <c r="H204" s="330">
        <f t="shared" ref="H204:I215" si="80">F204-D204</f>
        <v>200</v>
      </c>
      <c r="I204" s="331">
        <f t="shared" si="80"/>
        <v>160</v>
      </c>
      <c r="J204" s="332">
        <f t="shared" ref="J204:J215" si="81">D204*C204</f>
        <v>850</v>
      </c>
      <c r="K204" s="333">
        <f t="shared" si="79"/>
        <v>1050</v>
      </c>
    </row>
    <row r="205" spans="1:11">
      <c r="A205" s="48"/>
      <c r="B205" s="315" t="s">
        <v>120</v>
      </c>
      <c r="C205" s="320">
        <v>4.5</v>
      </c>
      <c r="D205" s="396">
        <v>850</v>
      </c>
      <c r="E205" s="390">
        <f t="shared" si="76"/>
        <v>680</v>
      </c>
      <c r="F205" s="329"/>
      <c r="G205" s="328">
        <f t="shared" si="78"/>
        <v>0</v>
      </c>
      <c r="H205" s="391">
        <f t="shared" si="80"/>
        <v>-850</v>
      </c>
      <c r="I205" s="392">
        <f t="shared" si="80"/>
        <v>-680</v>
      </c>
      <c r="J205" s="332">
        <f t="shared" si="81"/>
        <v>3825</v>
      </c>
      <c r="K205" s="333">
        <f t="shared" si="79"/>
        <v>0</v>
      </c>
    </row>
    <row r="206" spans="1:11" ht="25.5">
      <c r="A206" s="48"/>
      <c r="B206" s="346" t="s">
        <v>361</v>
      </c>
      <c r="C206" s="347">
        <v>3</v>
      </c>
      <c r="D206" s="348">
        <v>850</v>
      </c>
      <c r="E206" s="334">
        <f t="shared" si="76"/>
        <v>680</v>
      </c>
      <c r="F206" s="335">
        <v>1050</v>
      </c>
      <c r="G206" s="334">
        <f t="shared" si="78"/>
        <v>840</v>
      </c>
      <c r="H206" s="336">
        <f t="shared" si="80"/>
        <v>200</v>
      </c>
      <c r="I206" s="337">
        <f t="shared" si="80"/>
        <v>160</v>
      </c>
      <c r="J206" s="338"/>
      <c r="K206" s="339">
        <f t="shared" si="79"/>
        <v>3150</v>
      </c>
    </row>
    <row r="207" spans="1:11">
      <c r="A207" s="48"/>
      <c r="B207" s="346" t="s">
        <v>360</v>
      </c>
      <c r="C207" s="347">
        <v>3</v>
      </c>
      <c r="D207" s="348">
        <v>425</v>
      </c>
      <c r="E207" s="334">
        <f t="shared" si="76"/>
        <v>340</v>
      </c>
      <c r="F207" s="335">
        <v>1050</v>
      </c>
      <c r="G207" s="334">
        <f t="shared" si="78"/>
        <v>840</v>
      </c>
      <c r="H207" s="336">
        <f t="shared" si="80"/>
        <v>625</v>
      </c>
      <c r="I207" s="337">
        <f t="shared" si="80"/>
        <v>500</v>
      </c>
      <c r="J207" s="338"/>
      <c r="K207" s="339">
        <f t="shared" si="79"/>
        <v>3150</v>
      </c>
    </row>
    <row r="208" spans="1:11">
      <c r="A208" s="48"/>
      <c r="B208" s="315" t="s">
        <v>289</v>
      </c>
      <c r="C208" s="320">
        <v>1</v>
      </c>
      <c r="D208" s="372">
        <v>770</v>
      </c>
      <c r="E208" s="328">
        <f t="shared" si="76"/>
        <v>616</v>
      </c>
      <c r="F208" s="329">
        <f t="shared" si="77"/>
        <v>970</v>
      </c>
      <c r="G208" s="328">
        <f t="shared" si="78"/>
        <v>776</v>
      </c>
      <c r="H208" s="330">
        <f t="shared" si="80"/>
        <v>200</v>
      </c>
      <c r="I208" s="331">
        <f t="shared" si="80"/>
        <v>160</v>
      </c>
      <c r="J208" s="332">
        <f t="shared" si="81"/>
        <v>770</v>
      </c>
      <c r="K208" s="333">
        <f t="shared" si="79"/>
        <v>970</v>
      </c>
    </row>
    <row r="209" spans="1:11">
      <c r="A209" s="48"/>
      <c r="B209" s="315" t="s">
        <v>8</v>
      </c>
      <c r="C209" s="320">
        <v>1</v>
      </c>
      <c r="D209" s="372">
        <v>790</v>
      </c>
      <c r="E209" s="328">
        <f t="shared" si="76"/>
        <v>632</v>
      </c>
      <c r="F209" s="329">
        <f t="shared" si="77"/>
        <v>990</v>
      </c>
      <c r="G209" s="328">
        <f t="shared" si="78"/>
        <v>792</v>
      </c>
      <c r="H209" s="330">
        <f t="shared" si="80"/>
        <v>200</v>
      </c>
      <c r="I209" s="331">
        <f t="shared" si="80"/>
        <v>160</v>
      </c>
      <c r="J209" s="332">
        <f t="shared" si="81"/>
        <v>790</v>
      </c>
      <c r="K209" s="333">
        <f t="shared" si="79"/>
        <v>990</v>
      </c>
    </row>
    <row r="210" spans="1:11">
      <c r="A210" s="48"/>
      <c r="B210" s="315" t="s">
        <v>123</v>
      </c>
      <c r="C210" s="320">
        <v>1</v>
      </c>
      <c r="D210" s="372">
        <v>720</v>
      </c>
      <c r="E210" s="328">
        <f t="shared" si="76"/>
        <v>576</v>
      </c>
      <c r="F210" s="329">
        <f t="shared" si="77"/>
        <v>920</v>
      </c>
      <c r="G210" s="328">
        <f t="shared" si="78"/>
        <v>736</v>
      </c>
      <c r="H210" s="330">
        <f t="shared" si="80"/>
        <v>200</v>
      </c>
      <c r="I210" s="331">
        <f t="shared" si="80"/>
        <v>160</v>
      </c>
      <c r="J210" s="332">
        <f t="shared" si="81"/>
        <v>720</v>
      </c>
      <c r="K210" s="333">
        <f t="shared" si="79"/>
        <v>920</v>
      </c>
    </row>
    <row r="211" spans="1:11">
      <c r="A211" s="48"/>
      <c r="B211" s="315" t="s">
        <v>9</v>
      </c>
      <c r="C211" s="320">
        <v>2</v>
      </c>
      <c r="D211" s="372">
        <v>720</v>
      </c>
      <c r="E211" s="328">
        <f t="shared" si="76"/>
        <v>576</v>
      </c>
      <c r="F211" s="329">
        <f t="shared" si="77"/>
        <v>920</v>
      </c>
      <c r="G211" s="328">
        <f t="shared" si="78"/>
        <v>736</v>
      </c>
      <c r="H211" s="330">
        <f t="shared" si="80"/>
        <v>200</v>
      </c>
      <c r="I211" s="331">
        <f t="shared" si="80"/>
        <v>160</v>
      </c>
      <c r="J211" s="332">
        <f t="shared" si="81"/>
        <v>1440</v>
      </c>
      <c r="K211" s="333">
        <f t="shared" si="79"/>
        <v>1840</v>
      </c>
    </row>
    <row r="212" spans="1:11">
      <c r="A212" s="48"/>
      <c r="B212" s="315" t="s">
        <v>121</v>
      </c>
      <c r="C212" s="320">
        <v>3</v>
      </c>
      <c r="D212" s="372">
        <v>790</v>
      </c>
      <c r="E212" s="328">
        <f t="shared" si="76"/>
        <v>632</v>
      </c>
      <c r="F212" s="329">
        <f>D212+200</f>
        <v>990</v>
      </c>
      <c r="G212" s="328">
        <f t="shared" si="78"/>
        <v>792</v>
      </c>
      <c r="H212" s="330">
        <f t="shared" si="80"/>
        <v>200</v>
      </c>
      <c r="I212" s="331">
        <f t="shared" si="80"/>
        <v>160</v>
      </c>
      <c r="J212" s="332">
        <f t="shared" si="81"/>
        <v>2370</v>
      </c>
      <c r="K212" s="333">
        <f t="shared" si="79"/>
        <v>2970</v>
      </c>
    </row>
    <row r="213" spans="1:11" ht="21" customHeight="1">
      <c r="A213" s="48"/>
      <c r="B213" s="318" t="s">
        <v>122</v>
      </c>
      <c r="C213" s="322">
        <v>1</v>
      </c>
      <c r="D213" s="373">
        <v>690</v>
      </c>
      <c r="E213" s="334">
        <f t="shared" si="76"/>
        <v>552</v>
      </c>
      <c r="F213" s="335">
        <f>D213+200</f>
        <v>890</v>
      </c>
      <c r="G213" s="334">
        <f t="shared" si="78"/>
        <v>712</v>
      </c>
      <c r="H213" s="336">
        <f t="shared" si="80"/>
        <v>200</v>
      </c>
      <c r="I213" s="337">
        <f t="shared" si="80"/>
        <v>160</v>
      </c>
      <c r="J213" s="338">
        <f t="shared" si="81"/>
        <v>690</v>
      </c>
      <c r="K213" s="339">
        <f t="shared" si="79"/>
        <v>890</v>
      </c>
    </row>
    <row r="214" spans="1:11" ht="23.25" customHeight="1">
      <c r="A214" s="48"/>
      <c r="B214" s="318" t="s">
        <v>10</v>
      </c>
      <c r="C214" s="322">
        <v>1</v>
      </c>
      <c r="D214" s="373">
        <v>600</v>
      </c>
      <c r="E214" s="334">
        <f t="shared" si="76"/>
        <v>480</v>
      </c>
      <c r="F214" s="335">
        <f>D214+200</f>
        <v>800</v>
      </c>
      <c r="G214" s="334">
        <f t="shared" si="78"/>
        <v>640</v>
      </c>
      <c r="H214" s="336">
        <f t="shared" si="80"/>
        <v>200</v>
      </c>
      <c r="I214" s="337">
        <f t="shared" si="80"/>
        <v>160</v>
      </c>
      <c r="J214" s="338">
        <f t="shared" si="81"/>
        <v>600</v>
      </c>
      <c r="K214" s="339">
        <f t="shared" si="79"/>
        <v>800</v>
      </c>
    </row>
    <row r="215" spans="1:11" ht="18.75" customHeight="1" thickBot="1">
      <c r="A215" s="48"/>
      <c r="B215" s="318" t="s">
        <v>11</v>
      </c>
      <c r="C215" s="322">
        <v>1</v>
      </c>
      <c r="D215" s="374">
        <v>580</v>
      </c>
      <c r="E215" s="340">
        <f t="shared" si="76"/>
        <v>464</v>
      </c>
      <c r="F215" s="335">
        <f>D215+200</f>
        <v>780</v>
      </c>
      <c r="G215" s="334">
        <f t="shared" si="78"/>
        <v>624</v>
      </c>
      <c r="H215" s="336">
        <f t="shared" si="80"/>
        <v>200</v>
      </c>
      <c r="I215" s="337">
        <f t="shared" si="80"/>
        <v>160</v>
      </c>
      <c r="J215" s="338">
        <f t="shared" si="81"/>
        <v>580</v>
      </c>
      <c r="K215" s="339">
        <f t="shared" si="79"/>
        <v>780</v>
      </c>
    </row>
    <row r="216" spans="1:11" ht="18.75" customHeight="1" thickBot="1">
      <c r="A216" s="196">
        <v>14</v>
      </c>
      <c r="B216" s="72" t="s">
        <v>301</v>
      </c>
      <c r="C216" s="64">
        <f>SUM(C218:C229)-C220</f>
        <v>18</v>
      </c>
      <c r="D216" s="65">
        <v>105</v>
      </c>
      <c r="E216" s="65"/>
      <c r="F216" s="208">
        <v>105</v>
      </c>
      <c r="G216" s="242"/>
      <c r="H216" s="242"/>
      <c r="I216" s="242"/>
      <c r="J216" s="135">
        <f>SUM(J218:J229)</f>
        <v>12855</v>
      </c>
      <c r="K216" s="135">
        <f>SUM(K218:K229)</f>
        <v>17730</v>
      </c>
    </row>
    <row r="217" spans="1:11" ht="18.75" customHeight="1" thickBot="1">
      <c r="A217" s="197"/>
      <c r="B217" s="73" t="s">
        <v>115</v>
      </c>
      <c r="C217" s="772">
        <v>105</v>
      </c>
      <c r="D217" s="773"/>
      <c r="E217" s="773"/>
      <c r="F217" s="773"/>
      <c r="G217" s="773"/>
      <c r="H217" s="773"/>
      <c r="I217" s="773"/>
      <c r="J217" s="773"/>
      <c r="K217" s="774"/>
    </row>
    <row r="218" spans="1:11" ht="16.5" customHeight="1">
      <c r="A218" s="48"/>
      <c r="B218" s="314" t="s">
        <v>7</v>
      </c>
      <c r="C218" s="319">
        <v>1</v>
      </c>
      <c r="D218" s="371">
        <v>990</v>
      </c>
      <c r="E218" s="324">
        <f t="shared" ref="E218:E243" si="82">D218-D218*0.2</f>
        <v>792</v>
      </c>
      <c r="F218" s="329">
        <f t="shared" ref="F218:F225" si="83">D218+200</f>
        <v>1190</v>
      </c>
      <c r="G218" s="328">
        <f t="shared" ref="G218:G243" si="84">F218-F218*0.2</f>
        <v>952</v>
      </c>
      <c r="H218" s="325">
        <f>F218-D218</f>
        <v>200</v>
      </c>
      <c r="I218" s="324">
        <f>G218-E218</f>
        <v>160</v>
      </c>
      <c r="J218" s="332">
        <f>D218*C218</f>
        <v>990</v>
      </c>
      <c r="K218" s="333">
        <f t="shared" ref="K218:K226" si="85">F218*C218</f>
        <v>1190</v>
      </c>
    </row>
    <row r="219" spans="1:11" ht="16.5" customHeight="1">
      <c r="A219" s="48"/>
      <c r="B219" s="315" t="s">
        <v>4</v>
      </c>
      <c r="C219" s="320">
        <v>1</v>
      </c>
      <c r="D219" s="372">
        <v>850</v>
      </c>
      <c r="E219" s="328">
        <f t="shared" si="82"/>
        <v>680</v>
      </c>
      <c r="F219" s="329">
        <f t="shared" si="83"/>
        <v>1050</v>
      </c>
      <c r="G219" s="328">
        <f t="shared" si="84"/>
        <v>840</v>
      </c>
      <c r="H219" s="330">
        <f t="shared" ref="H219:I229" si="86">F219-D219</f>
        <v>200</v>
      </c>
      <c r="I219" s="331">
        <f t="shared" si="86"/>
        <v>160</v>
      </c>
      <c r="J219" s="332">
        <f t="shared" ref="J219:J226" si="87">D219*C219</f>
        <v>850</v>
      </c>
      <c r="K219" s="333">
        <f t="shared" si="85"/>
        <v>1050</v>
      </c>
    </row>
    <row r="220" spans="1:11" ht="17.25" customHeight="1">
      <c r="A220" s="48"/>
      <c r="B220" s="315" t="s">
        <v>120</v>
      </c>
      <c r="C220" s="320">
        <v>4.5</v>
      </c>
      <c r="D220" s="395">
        <v>850</v>
      </c>
      <c r="E220" s="394">
        <f t="shared" si="82"/>
        <v>680</v>
      </c>
      <c r="F220" s="329"/>
      <c r="G220" s="328">
        <f t="shared" si="84"/>
        <v>0</v>
      </c>
      <c r="H220" s="391">
        <f t="shared" si="86"/>
        <v>-850</v>
      </c>
      <c r="I220" s="392">
        <f t="shared" si="86"/>
        <v>-680</v>
      </c>
      <c r="J220" s="332">
        <f t="shared" si="87"/>
        <v>3825</v>
      </c>
      <c r="K220" s="333">
        <f t="shared" si="85"/>
        <v>0</v>
      </c>
    </row>
    <row r="221" spans="1:11" ht="17.25" customHeight="1">
      <c r="A221" s="48"/>
      <c r="B221" s="346" t="s">
        <v>361</v>
      </c>
      <c r="C221" s="347">
        <v>3</v>
      </c>
      <c r="D221" s="348">
        <v>850</v>
      </c>
      <c r="E221" s="334">
        <f t="shared" si="82"/>
        <v>680</v>
      </c>
      <c r="F221" s="335">
        <v>1050</v>
      </c>
      <c r="G221" s="334">
        <f t="shared" si="84"/>
        <v>840</v>
      </c>
      <c r="H221" s="336">
        <f t="shared" si="86"/>
        <v>200</v>
      </c>
      <c r="I221" s="337">
        <f t="shared" si="86"/>
        <v>160</v>
      </c>
      <c r="J221" s="338"/>
      <c r="K221" s="339">
        <f t="shared" si="85"/>
        <v>3150</v>
      </c>
    </row>
    <row r="222" spans="1:11" ht="17.25" customHeight="1">
      <c r="A222" s="48"/>
      <c r="B222" s="346" t="s">
        <v>360</v>
      </c>
      <c r="C222" s="347">
        <v>3</v>
      </c>
      <c r="D222" s="348">
        <v>425</v>
      </c>
      <c r="E222" s="334">
        <f t="shared" si="82"/>
        <v>340</v>
      </c>
      <c r="F222" s="335">
        <v>1050</v>
      </c>
      <c r="G222" s="334">
        <f t="shared" si="84"/>
        <v>840</v>
      </c>
      <c r="H222" s="336">
        <f t="shared" si="86"/>
        <v>625</v>
      </c>
      <c r="I222" s="337">
        <f t="shared" si="86"/>
        <v>500</v>
      </c>
      <c r="J222" s="338"/>
      <c r="K222" s="339">
        <f t="shared" si="85"/>
        <v>3150</v>
      </c>
    </row>
    <row r="223" spans="1:11" ht="17.25" customHeight="1">
      <c r="A223" s="48"/>
      <c r="B223" s="315" t="s">
        <v>8</v>
      </c>
      <c r="C223" s="320">
        <v>1</v>
      </c>
      <c r="D223" s="372">
        <v>790</v>
      </c>
      <c r="E223" s="328">
        <f t="shared" si="82"/>
        <v>632</v>
      </c>
      <c r="F223" s="329">
        <f t="shared" si="83"/>
        <v>990</v>
      </c>
      <c r="G223" s="328">
        <f t="shared" si="84"/>
        <v>792</v>
      </c>
      <c r="H223" s="330">
        <f t="shared" si="86"/>
        <v>200</v>
      </c>
      <c r="I223" s="331">
        <f t="shared" si="86"/>
        <v>160</v>
      </c>
      <c r="J223" s="332">
        <f t="shared" si="87"/>
        <v>790</v>
      </c>
      <c r="K223" s="333">
        <f t="shared" si="85"/>
        <v>990</v>
      </c>
    </row>
    <row r="224" spans="1:11" ht="17.25" customHeight="1">
      <c r="A224" s="48"/>
      <c r="B224" s="315" t="s">
        <v>123</v>
      </c>
      <c r="C224" s="320">
        <v>1</v>
      </c>
      <c r="D224" s="372">
        <v>720</v>
      </c>
      <c r="E224" s="328">
        <f t="shared" si="82"/>
        <v>576</v>
      </c>
      <c r="F224" s="329">
        <f t="shared" si="83"/>
        <v>920</v>
      </c>
      <c r="G224" s="328">
        <f t="shared" si="84"/>
        <v>736</v>
      </c>
      <c r="H224" s="330">
        <f t="shared" si="86"/>
        <v>200</v>
      </c>
      <c r="I224" s="331">
        <f t="shared" si="86"/>
        <v>160</v>
      </c>
      <c r="J224" s="332">
        <f t="shared" si="87"/>
        <v>720</v>
      </c>
      <c r="K224" s="333">
        <f t="shared" si="85"/>
        <v>920</v>
      </c>
    </row>
    <row r="225" spans="1:11">
      <c r="A225" s="48"/>
      <c r="B225" s="315" t="s">
        <v>9</v>
      </c>
      <c r="C225" s="320">
        <v>2</v>
      </c>
      <c r="D225" s="372">
        <v>720</v>
      </c>
      <c r="E225" s="328">
        <f t="shared" si="82"/>
        <v>576</v>
      </c>
      <c r="F225" s="329">
        <f t="shared" si="83"/>
        <v>920</v>
      </c>
      <c r="G225" s="328">
        <f t="shared" si="84"/>
        <v>736</v>
      </c>
      <c r="H225" s="330">
        <f t="shared" si="86"/>
        <v>200</v>
      </c>
      <c r="I225" s="331">
        <f t="shared" si="86"/>
        <v>160</v>
      </c>
      <c r="J225" s="332">
        <f t="shared" si="87"/>
        <v>1440</v>
      </c>
      <c r="K225" s="333">
        <f t="shared" si="85"/>
        <v>1840</v>
      </c>
    </row>
    <row r="226" spans="1:11">
      <c r="A226" s="48"/>
      <c r="B226" s="315" t="s">
        <v>121</v>
      </c>
      <c r="C226" s="320">
        <v>3</v>
      </c>
      <c r="D226" s="372">
        <v>790</v>
      </c>
      <c r="E226" s="328">
        <f t="shared" si="82"/>
        <v>632</v>
      </c>
      <c r="F226" s="329">
        <f>D226+200</f>
        <v>990</v>
      </c>
      <c r="G226" s="328">
        <f t="shared" si="84"/>
        <v>792</v>
      </c>
      <c r="H226" s="330">
        <f t="shared" si="86"/>
        <v>200</v>
      </c>
      <c r="I226" s="331">
        <f t="shared" si="86"/>
        <v>160</v>
      </c>
      <c r="J226" s="332">
        <f t="shared" si="87"/>
        <v>2370</v>
      </c>
      <c r="K226" s="333">
        <f t="shared" si="85"/>
        <v>2970</v>
      </c>
    </row>
    <row r="227" spans="1:11" ht="22.5" customHeight="1">
      <c r="A227" s="48"/>
      <c r="B227" s="318" t="s">
        <v>122</v>
      </c>
      <c r="C227" s="322">
        <v>1</v>
      </c>
      <c r="D227" s="373">
        <v>690</v>
      </c>
      <c r="E227" s="334">
        <f t="shared" si="82"/>
        <v>552</v>
      </c>
      <c r="F227" s="335">
        <f>D227+200</f>
        <v>890</v>
      </c>
      <c r="G227" s="334">
        <f>F227-F227*0.2</f>
        <v>712</v>
      </c>
      <c r="H227" s="336">
        <f t="shared" si="86"/>
        <v>200</v>
      </c>
      <c r="I227" s="337">
        <f t="shared" si="86"/>
        <v>160</v>
      </c>
      <c r="J227" s="338">
        <f>D227*C227</f>
        <v>690</v>
      </c>
      <c r="K227" s="339">
        <f>F227*C227</f>
        <v>890</v>
      </c>
    </row>
    <row r="228" spans="1:11">
      <c r="A228" s="48"/>
      <c r="B228" s="318" t="s">
        <v>10</v>
      </c>
      <c r="C228" s="322">
        <v>1</v>
      </c>
      <c r="D228" s="373">
        <v>600</v>
      </c>
      <c r="E228" s="334">
        <f t="shared" si="82"/>
        <v>480</v>
      </c>
      <c r="F228" s="335">
        <f>D228+200</f>
        <v>800</v>
      </c>
      <c r="G228" s="334">
        <f t="shared" si="84"/>
        <v>640</v>
      </c>
      <c r="H228" s="336">
        <f t="shared" si="86"/>
        <v>200</v>
      </c>
      <c r="I228" s="337">
        <f t="shared" si="86"/>
        <v>160</v>
      </c>
      <c r="J228" s="338">
        <f>D228*C228</f>
        <v>600</v>
      </c>
      <c r="K228" s="339">
        <f>F228*C228</f>
        <v>800</v>
      </c>
    </row>
    <row r="229" spans="1:11" ht="15.75" thickBot="1">
      <c r="A229" s="48"/>
      <c r="B229" s="318" t="s">
        <v>11</v>
      </c>
      <c r="C229" s="322">
        <v>1</v>
      </c>
      <c r="D229" s="374">
        <v>580</v>
      </c>
      <c r="E229" s="340">
        <f t="shared" si="82"/>
        <v>464</v>
      </c>
      <c r="F229" s="335">
        <f>D229+200</f>
        <v>780</v>
      </c>
      <c r="G229" s="334">
        <f t="shared" si="84"/>
        <v>624</v>
      </c>
      <c r="H229" s="336">
        <f t="shared" si="86"/>
        <v>200</v>
      </c>
      <c r="I229" s="337">
        <f t="shared" si="86"/>
        <v>160</v>
      </c>
      <c r="J229" s="338">
        <f>D229*C229</f>
        <v>580</v>
      </c>
      <c r="K229" s="339">
        <f>F229*C229</f>
        <v>780</v>
      </c>
    </row>
    <row r="230" spans="1:11" ht="15.75" thickBot="1">
      <c r="A230" s="196">
        <v>15</v>
      </c>
      <c r="B230" s="74" t="s">
        <v>302</v>
      </c>
      <c r="C230" s="64">
        <f>SUM(C232:C243)-C234</f>
        <v>14</v>
      </c>
      <c r="D230" s="65">
        <v>70</v>
      </c>
      <c r="E230" s="242"/>
      <c r="F230" s="208">
        <v>70</v>
      </c>
      <c r="G230" s="242"/>
      <c r="H230" s="242"/>
      <c r="I230" s="242"/>
      <c r="J230" s="135">
        <f>SUM(J232:J243)</f>
        <v>10070</v>
      </c>
      <c r="K230" s="135">
        <f>SUM(K232:K243)</f>
        <v>13720</v>
      </c>
    </row>
    <row r="231" spans="1:11" ht="15.75" thickBot="1">
      <c r="A231" s="197"/>
      <c r="B231" s="74" t="s">
        <v>113</v>
      </c>
      <c r="C231" s="772">
        <v>70</v>
      </c>
      <c r="D231" s="773"/>
      <c r="E231" s="773"/>
      <c r="F231" s="773"/>
      <c r="G231" s="773"/>
      <c r="H231" s="773"/>
      <c r="I231" s="773"/>
      <c r="J231" s="773"/>
      <c r="K231" s="774"/>
    </row>
    <row r="232" spans="1:11" ht="16.5" customHeight="1">
      <c r="A232" s="48"/>
      <c r="B232" s="314" t="s">
        <v>7</v>
      </c>
      <c r="C232" s="319">
        <v>1</v>
      </c>
      <c r="D232" s="371">
        <v>990</v>
      </c>
      <c r="E232" s="324">
        <f t="shared" si="82"/>
        <v>792</v>
      </c>
      <c r="F232" s="329">
        <f t="shared" ref="F232:F239" si="88">D232+200</f>
        <v>1190</v>
      </c>
      <c r="G232" s="328">
        <f t="shared" si="84"/>
        <v>952</v>
      </c>
      <c r="H232" s="325">
        <f>F232-D232</f>
        <v>200</v>
      </c>
      <c r="I232" s="324">
        <f>G232-E232</f>
        <v>160</v>
      </c>
      <c r="J232" s="332">
        <f>D232*C232</f>
        <v>990</v>
      </c>
      <c r="K232" s="333">
        <f t="shared" ref="K232:K243" si="89">F232*C232</f>
        <v>1190</v>
      </c>
    </row>
    <row r="233" spans="1:11" ht="16.5" customHeight="1">
      <c r="A233" s="48"/>
      <c r="B233" s="315" t="s">
        <v>4</v>
      </c>
      <c r="C233" s="320">
        <v>1</v>
      </c>
      <c r="D233" s="372">
        <v>850</v>
      </c>
      <c r="E233" s="328">
        <f t="shared" si="82"/>
        <v>680</v>
      </c>
      <c r="F233" s="329">
        <f t="shared" si="88"/>
        <v>1050</v>
      </c>
      <c r="G233" s="328">
        <f t="shared" si="84"/>
        <v>840</v>
      </c>
      <c r="H233" s="330">
        <f t="shared" ref="H233:I243" si="90">F233-D233</f>
        <v>200</v>
      </c>
      <c r="I233" s="331">
        <f t="shared" si="90"/>
        <v>160</v>
      </c>
      <c r="J233" s="332">
        <f t="shared" ref="J233:J243" si="91">D233*C233</f>
        <v>850</v>
      </c>
      <c r="K233" s="333">
        <f t="shared" si="89"/>
        <v>1050</v>
      </c>
    </row>
    <row r="234" spans="1:11">
      <c r="A234" s="48"/>
      <c r="B234" s="315" t="s">
        <v>120</v>
      </c>
      <c r="C234" s="320">
        <f>3</f>
        <v>3</v>
      </c>
      <c r="D234" s="395">
        <v>850</v>
      </c>
      <c r="E234" s="394">
        <f t="shared" si="82"/>
        <v>680</v>
      </c>
      <c r="F234" s="329"/>
      <c r="G234" s="328">
        <f t="shared" si="84"/>
        <v>0</v>
      </c>
      <c r="H234" s="391">
        <f t="shared" si="90"/>
        <v>-850</v>
      </c>
      <c r="I234" s="392">
        <f t="shared" si="90"/>
        <v>-680</v>
      </c>
      <c r="J234" s="332">
        <f t="shared" si="91"/>
        <v>2550</v>
      </c>
      <c r="K234" s="333">
        <f t="shared" si="89"/>
        <v>0</v>
      </c>
    </row>
    <row r="235" spans="1:11" ht="25.5">
      <c r="A235" s="48"/>
      <c r="B235" s="346" t="s">
        <v>361</v>
      </c>
      <c r="C235" s="347">
        <v>2</v>
      </c>
      <c r="D235" s="348">
        <v>850</v>
      </c>
      <c r="E235" s="334">
        <f t="shared" si="82"/>
        <v>680</v>
      </c>
      <c r="F235" s="335">
        <v>1050</v>
      </c>
      <c r="G235" s="334">
        <f t="shared" si="84"/>
        <v>840</v>
      </c>
      <c r="H235" s="336">
        <f t="shared" si="90"/>
        <v>200</v>
      </c>
      <c r="I235" s="337">
        <f t="shared" si="90"/>
        <v>160</v>
      </c>
      <c r="J235" s="338"/>
      <c r="K235" s="339">
        <f t="shared" si="89"/>
        <v>2100</v>
      </c>
    </row>
    <row r="236" spans="1:11">
      <c r="A236" s="48"/>
      <c r="B236" s="346" t="s">
        <v>360</v>
      </c>
      <c r="C236" s="347">
        <v>2</v>
      </c>
      <c r="D236" s="348">
        <v>425</v>
      </c>
      <c r="E236" s="334">
        <f t="shared" si="82"/>
        <v>340</v>
      </c>
      <c r="F236" s="335">
        <v>1050</v>
      </c>
      <c r="G236" s="334">
        <f t="shared" si="84"/>
        <v>840</v>
      </c>
      <c r="H236" s="336">
        <f t="shared" si="90"/>
        <v>625</v>
      </c>
      <c r="I236" s="337">
        <f t="shared" si="90"/>
        <v>500</v>
      </c>
      <c r="J236" s="338"/>
      <c r="K236" s="339">
        <f t="shared" si="89"/>
        <v>2100</v>
      </c>
    </row>
    <row r="237" spans="1:11">
      <c r="A237" s="48"/>
      <c r="B237" s="315" t="s">
        <v>8</v>
      </c>
      <c r="C237" s="320">
        <v>1</v>
      </c>
      <c r="D237" s="372">
        <v>790</v>
      </c>
      <c r="E237" s="328">
        <f t="shared" si="82"/>
        <v>632</v>
      </c>
      <c r="F237" s="329">
        <f t="shared" si="88"/>
        <v>990</v>
      </c>
      <c r="G237" s="328">
        <f t="shared" si="84"/>
        <v>792</v>
      </c>
      <c r="H237" s="330">
        <f t="shared" si="90"/>
        <v>200</v>
      </c>
      <c r="I237" s="331">
        <f t="shared" si="90"/>
        <v>160</v>
      </c>
      <c r="J237" s="332">
        <f t="shared" si="91"/>
        <v>790</v>
      </c>
      <c r="K237" s="333">
        <f t="shared" si="89"/>
        <v>990</v>
      </c>
    </row>
    <row r="238" spans="1:11">
      <c r="A238" s="48"/>
      <c r="B238" s="315" t="s">
        <v>123</v>
      </c>
      <c r="C238" s="320">
        <v>1</v>
      </c>
      <c r="D238" s="372">
        <v>720</v>
      </c>
      <c r="E238" s="328">
        <f t="shared" si="82"/>
        <v>576</v>
      </c>
      <c r="F238" s="329">
        <f t="shared" si="88"/>
        <v>920</v>
      </c>
      <c r="G238" s="328">
        <f t="shared" si="84"/>
        <v>736</v>
      </c>
      <c r="H238" s="330">
        <f t="shared" si="90"/>
        <v>200</v>
      </c>
      <c r="I238" s="331">
        <f t="shared" si="90"/>
        <v>160</v>
      </c>
      <c r="J238" s="332">
        <f t="shared" si="91"/>
        <v>720</v>
      </c>
      <c r="K238" s="333">
        <f t="shared" si="89"/>
        <v>920</v>
      </c>
    </row>
    <row r="239" spans="1:11">
      <c r="A239" s="48"/>
      <c r="B239" s="315" t="s">
        <v>9</v>
      </c>
      <c r="C239" s="320">
        <f>1</f>
        <v>1</v>
      </c>
      <c r="D239" s="372">
        <v>720</v>
      </c>
      <c r="E239" s="328">
        <f t="shared" si="82"/>
        <v>576</v>
      </c>
      <c r="F239" s="329">
        <f t="shared" si="88"/>
        <v>920</v>
      </c>
      <c r="G239" s="328">
        <f t="shared" si="84"/>
        <v>736</v>
      </c>
      <c r="H239" s="330">
        <f t="shared" si="90"/>
        <v>200</v>
      </c>
      <c r="I239" s="331">
        <f t="shared" si="90"/>
        <v>160</v>
      </c>
      <c r="J239" s="332">
        <f t="shared" si="91"/>
        <v>720</v>
      </c>
      <c r="K239" s="333">
        <f t="shared" si="89"/>
        <v>920</v>
      </c>
    </row>
    <row r="240" spans="1:11">
      <c r="A240" s="48"/>
      <c r="B240" s="315" t="s">
        <v>121</v>
      </c>
      <c r="C240" s="320">
        <f>2</f>
        <v>2</v>
      </c>
      <c r="D240" s="372">
        <v>790</v>
      </c>
      <c r="E240" s="328">
        <f t="shared" si="82"/>
        <v>632</v>
      </c>
      <c r="F240" s="329">
        <f>D240+200</f>
        <v>990</v>
      </c>
      <c r="G240" s="328">
        <f t="shared" si="84"/>
        <v>792</v>
      </c>
      <c r="H240" s="330">
        <f t="shared" si="90"/>
        <v>200</v>
      </c>
      <c r="I240" s="331">
        <f t="shared" si="90"/>
        <v>160</v>
      </c>
      <c r="J240" s="332">
        <f t="shared" si="91"/>
        <v>1580</v>
      </c>
      <c r="K240" s="333">
        <f t="shared" si="89"/>
        <v>1980</v>
      </c>
    </row>
    <row r="241" spans="1:11" ht="30" customHeight="1">
      <c r="A241" s="48"/>
      <c r="B241" s="318" t="s">
        <v>122</v>
      </c>
      <c r="C241" s="322">
        <v>1</v>
      </c>
      <c r="D241" s="373">
        <v>690</v>
      </c>
      <c r="E241" s="334">
        <f t="shared" si="82"/>
        <v>552</v>
      </c>
      <c r="F241" s="335">
        <f>D241+200</f>
        <v>890</v>
      </c>
      <c r="G241" s="334">
        <f t="shared" si="84"/>
        <v>712</v>
      </c>
      <c r="H241" s="336">
        <f t="shared" si="90"/>
        <v>200</v>
      </c>
      <c r="I241" s="337">
        <f t="shared" si="90"/>
        <v>160</v>
      </c>
      <c r="J241" s="338">
        <f t="shared" si="91"/>
        <v>690</v>
      </c>
      <c r="K241" s="339">
        <f t="shared" si="89"/>
        <v>890</v>
      </c>
    </row>
    <row r="242" spans="1:11">
      <c r="A242" s="48"/>
      <c r="B242" s="318" t="s">
        <v>10</v>
      </c>
      <c r="C242" s="322">
        <v>1</v>
      </c>
      <c r="D242" s="373">
        <v>600</v>
      </c>
      <c r="E242" s="334">
        <f t="shared" si="82"/>
        <v>480</v>
      </c>
      <c r="F242" s="335">
        <f>D242+200</f>
        <v>800</v>
      </c>
      <c r="G242" s="334">
        <f t="shared" si="84"/>
        <v>640</v>
      </c>
      <c r="H242" s="336">
        <f t="shared" si="90"/>
        <v>200</v>
      </c>
      <c r="I242" s="337">
        <f t="shared" si="90"/>
        <v>160</v>
      </c>
      <c r="J242" s="338">
        <f t="shared" si="91"/>
        <v>600</v>
      </c>
      <c r="K242" s="339">
        <f t="shared" si="89"/>
        <v>800</v>
      </c>
    </row>
    <row r="243" spans="1:11" ht="15.75" thickBot="1">
      <c r="A243" s="48"/>
      <c r="B243" s="318" t="s">
        <v>11</v>
      </c>
      <c r="C243" s="322">
        <v>1</v>
      </c>
      <c r="D243" s="373">
        <v>580</v>
      </c>
      <c r="E243" s="334">
        <f t="shared" si="82"/>
        <v>464</v>
      </c>
      <c r="F243" s="335">
        <f>D243+200</f>
        <v>780</v>
      </c>
      <c r="G243" s="334">
        <f t="shared" si="84"/>
        <v>624</v>
      </c>
      <c r="H243" s="336">
        <f t="shared" si="90"/>
        <v>200</v>
      </c>
      <c r="I243" s="337">
        <f t="shared" si="90"/>
        <v>160</v>
      </c>
      <c r="J243" s="338">
        <f t="shared" si="91"/>
        <v>580</v>
      </c>
      <c r="K243" s="339">
        <f t="shared" si="89"/>
        <v>780</v>
      </c>
    </row>
    <row r="244" spans="1:11" ht="15.75" thickBot="1">
      <c r="A244" s="196">
        <v>16</v>
      </c>
      <c r="B244" s="74" t="s">
        <v>303</v>
      </c>
      <c r="C244" s="64">
        <f>SUM(C246:C258)-C248</f>
        <v>15</v>
      </c>
      <c r="D244" s="65">
        <v>70</v>
      </c>
      <c r="E244" s="65"/>
      <c r="F244" s="208">
        <v>70</v>
      </c>
      <c r="G244" s="242"/>
      <c r="H244" s="242"/>
      <c r="I244" s="242"/>
      <c r="J244" s="135">
        <f>SUM(J246:J258)</f>
        <v>10840</v>
      </c>
      <c r="K244" s="135">
        <f>SUM(K246:K258)</f>
        <v>14690</v>
      </c>
    </row>
    <row r="245" spans="1:11" ht="15.75" thickBot="1">
      <c r="A245" s="197"/>
      <c r="B245" s="74" t="s">
        <v>113</v>
      </c>
      <c r="C245" s="772">
        <v>70</v>
      </c>
      <c r="D245" s="773"/>
      <c r="E245" s="773"/>
      <c r="F245" s="773"/>
      <c r="G245" s="773"/>
      <c r="H245" s="773"/>
      <c r="I245" s="773"/>
      <c r="J245" s="773"/>
      <c r="K245" s="774"/>
    </row>
    <row r="246" spans="1:11" ht="16.5" customHeight="1">
      <c r="A246" s="48"/>
      <c r="B246" s="314" t="s">
        <v>7</v>
      </c>
      <c r="C246" s="319">
        <v>1</v>
      </c>
      <c r="D246" s="371">
        <v>990</v>
      </c>
      <c r="E246" s="324">
        <f t="shared" ref="E246:E258" si="92">D246-D246*0.2</f>
        <v>792</v>
      </c>
      <c r="F246" s="329">
        <f t="shared" ref="F246:F254" si="93">D246+200</f>
        <v>1190</v>
      </c>
      <c r="G246" s="328">
        <f t="shared" ref="G246:G258" si="94">F246-F246*0.2</f>
        <v>952</v>
      </c>
      <c r="H246" s="325">
        <f>F246-D246</f>
        <v>200</v>
      </c>
      <c r="I246" s="324">
        <f>G246-E246</f>
        <v>160</v>
      </c>
      <c r="J246" s="332">
        <f>D246*C246</f>
        <v>990</v>
      </c>
      <c r="K246" s="333">
        <f t="shared" ref="K246:K256" si="95">F246*C246</f>
        <v>1190</v>
      </c>
    </row>
    <row r="247" spans="1:11" ht="16.5" customHeight="1">
      <c r="A247" s="48"/>
      <c r="B247" s="315" t="s">
        <v>4</v>
      </c>
      <c r="C247" s="320">
        <v>1</v>
      </c>
      <c r="D247" s="372">
        <v>850</v>
      </c>
      <c r="E247" s="328">
        <f t="shared" si="92"/>
        <v>680</v>
      </c>
      <c r="F247" s="329">
        <f t="shared" si="93"/>
        <v>1050</v>
      </c>
      <c r="G247" s="328">
        <f t="shared" si="94"/>
        <v>840</v>
      </c>
      <c r="H247" s="330">
        <f t="shared" ref="H247:I258" si="96">F247-D247</f>
        <v>200</v>
      </c>
      <c r="I247" s="331">
        <f t="shared" si="96"/>
        <v>160</v>
      </c>
      <c r="J247" s="332">
        <f t="shared" ref="J247:J256" si="97">D247*C247</f>
        <v>850</v>
      </c>
      <c r="K247" s="333">
        <f t="shared" si="95"/>
        <v>1050</v>
      </c>
    </row>
    <row r="248" spans="1:11" ht="15" customHeight="1">
      <c r="A248" s="48"/>
      <c r="B248" s="315" t="s">
        <v>120</v>
      </c>
      <c r="C248" s="320">
        <v>3</v>
      </c>
      <c r="D248" s="395">
        <v>850</v>
      </c>
      <c r="E248" s="394">
        <f t="shared" si="92"/>
        <v>680</v>
      </c>
      <c r="F248" s="329"/>
      <c r="G248" s="328">
        <f t="shared" si="94"/>
        <v>0</v>
      </c>
      <c r="H248" s="391">
        <f t="shared" si="96"/>
        <v>-850</v>
      </c>
      <c r="I248" s="392">
        <f t="shared" si="96"/>
        <v>-680</v>
      </c>
      <c r="J248" s="332">
        <f t="shared" si="97"/>
        <v>2550</v>
      </c>
      <c r="K248" s="333">
        <f t="shared" si="95"/>
        <v>0</v>
      </c>
    </row>
    <row r="249" spans="1:11" ht="25.5">
      <c r="A249" s="48"/>
      <c r="B249" s="346" t="s">
        <v>361</v>
      </c>
      <c r="C249" s="347">
        <v>2</v>
      </c>
      <c r="D249" s="348">
        <v>850</v>
      </c>
      <c r="E249" s="334">
        <f t="shared" si="92"/>
        <v>680</v>
      </c>
      <c r="F249" s="335">
        <v>1050</v>
      </c>
      <c r="G249" s="334">
        <f t="shared" si="94"/>
        <v>840</v>
      </c>
      <c r="H249" s="336">
        <f t="shared" si="96"/>
        <v>200</v>
      </c>
      <c r="I249" s="337">
        <f t="shared" si="96"/>
        <v>160</v>
      </c>
      <c r="J249" s="338"/>
      <c r="K249" s="339">
        <f t="shared" si="95"/>
        <v>2100</v>
      </c>
    </row>
    <row r="250" spans="1:11">
      <c r="A250" s="48"/>
      <c r="B250" s="346" t="s">
        <v>360</v>
      </c>
      <c r="C250" s="347">
        <v>2</v>
      </c>
      <c r="D250" s="348">
        <v>425</v>
      </c>
      <c r="E250" s="334">
        <f t="shared" si="92"/>
        <v>340</v>
      </c>
      <c r="F250" s="335">
        <v>1050</v>
      </c>
      <c r="G250" s="334">
        <f t="shared" si="94"/>
        <v>840</v>
      </c>
      <c r="H250" s="336">
        <f t="shared" si="96"/>
        <v>625</v>
      </c>
      <c r="I250" s="337">
        <f t="shared" si="96"/>
        <v>500</v>
      </c>
      <c r="J250" s="338"/>
      <c r="K250" s="339">
        <f t="shared" si="95"/>
        <v>2100</v>
      </c>
    </row>
    <row r="251" spans="1:11">
      <c r="A251" s="48"/>
      <c r="B251" s="315" t="s">
        <v>289</v>
      </c>
      <c r="C251" s="320">
        <v>1</v>
      </c>
      <c r="D251" s="372">
        <v>770</v>
      </c>
      <c r="E251" s="328">
        <f t="shared" si="92"/>
        <v>616</v>
      </c>
      <c r="F251" s="329">
        <f t="shared" si="93"/>
        <v>970</v>
      </c>
      <c r="G251" s="328">
        <f t="shared" si="94"/>
        <v>776</v>
      </c>
      <c r="H251" s="330">
        <f t="shared" si="96"/>
        <v>200</v>
      </c>
      <c r="I251" s="331">
        <f t="shared" si="96"/>
        <v>160</v>
      </c>
      <c r="J251" s="332">
        <f t="shared" si="97"/>
        <v>770</v>
      </c>
      <c r="K251" s="333">
        <f t="shared" si="95"/>
        <v>970</v>
      </c>
    </row>
    <row r="252" spans="1:11">
      <c r="A252" s="48"/>
      <c r="B252" s="315" t="s">
        <v>8</v>
      </c>
      <c r="C252" s="320">
        <v>1</v>
      </c>
      <c r="D252" s="372">
        <v>790</v>
      </c>
      <c r="E252" s="328">
        <f t="shared" si="92"/>
        <v>632</v>
      </c>
      <c r="F252" s="329">
        <f t="shared" si="93"/>
        <v>990</v>
      </c>
      <c r="G252" s="328">
        <f t="shared" si="94"/>
        <v>792</v>
      </c>
      <c r="H252" s="330">
        <f t="shared" si="96"/>
        <v>200</v>
      </c>
      <c r="I252" s="331">
        <f t="shared" si="96"/>
        <v>160</v>
      </c>
      <c r="J252" s="332">
        <f t="shared" si="97"/>
        <v>790</v>
      </c>
      <c r="K252" s="333">
        <f t="shared" si="95"/>
        <v>990</v>
      </c>
    </row>
    <row r="253" spans="1:11">
      <c r="A253" s="48"/>
      <c r="B253" s="315" t="s">
        <v>123</v>
      </c>
      <c r="C253" s="320">
        <v>1</v>
      </c>
      <c r="D253" s="372">
        <v>720</v>
      </c>
      <c r="E253" s="328">
        <f t="shared" si="92"/>
        <v>576</v>
      </c>
      <c r="F253" s="329">
        <f t="shared" si="93"/>
        <v>920</v>
      </c>
      <c r="G253" s="328">
        <f t="shared" si="94"/>
        <v>736</v>
      </c>
      <c r="H253" s="330">
        <f t="shared" si="96"/>
        <v>200</v>
      </c>
      <c r="I253" s="331">
        <f t="shared" si="96"/>
        <v>160</v>
      </c>
      <c r="J253" s="332">
        <f t="shared" si="97"/>
        <v>720</v>
      </c>
      <c r="K253" s="333">
        <f t="shared" si="95"/>
        <v>920</v>
      </c>
    </row>
    <row r="254" spans="1:11">
      <c r="A254" s="48"/>
      <c r="B254" s="315" t="s">
        <v>9</v>
      </c>
      <c r="C254" s="320">
        <v>1</v>
      </c>
      <c r="D254" s="372">
        <v>720</v>
      </c>
      <c r="E254" s="328">
        <f t="shared" si="92"/>
        <v>576</v>
      </c>
      <c r="F254" s="329">
        <f t="shared" si="93"/>
        <v>920</v>
      </c>
      <c r="G254" s="328">
        <f t="shared" si="94"/>
        <v>736</v>
      </c>
      <c r="H254" s="330">
        <f t="shared" si="96"/>
        <v>200</v>
      </c>
      <c r="I254" s="331">
        <f t="shared" si="96"/>
        <v>160</v>
      </c>
      <c r="J254" s="332">
        <f t="shared" si="97"/>
        <v>720</v>
      </c>
      <c r="K254" s="333">
        <f t="shared" si="95"/>
        <v>920</v>
      </c>
    </row>
    <row r="255" spans="1:11">
      <c r="A255" s="48"/>
      <c r="B255" s="315" t="s">
        <v>121</v>
      </c>
      <c r="C255" s="320">
        <v>2</v>
      </c>
      <c r="D255" s="372">
        <v>790</v>
      </c>
      <c r="E255" s="328">
        <f t="shared" si="92"/>
        <v>632</v>
      </c>
      <c r="F255" s="329">
        <f>D255+200</f>
        <v>990</v>
      </c>
      <c r="G255" s="328">
        <f t="shared" si="94"/>
        <v>792</v>
      </c>
      <c r="H255" s="330">
        <f t="shared" si="96"/>
        <v>200</v>
      </c>
      <c r="I255" s="331">
        <f t="shared" si="96"/>
        <v>160</v>
      </c>
      <c r="J255" s="332">
        <f>D255*C255</f>
        <v>1580</v>
      </c>
      <c r="K255" s="333">
        <f>F255*C255</f>
        <v>1980</v>
      </c>
    </row>
    <row r="256" spans="1:11" ht="23.25" customHeight="1">
      <c r="A256" s="48"/>
      <c r="B256" s="318" t="s">
        <v>122</v>
      </c>
      <c r="C256" s="322">
        <v>1</v>
      </c>
      <c r="D256" s="373">
        <v>690</v>
      </c>
      <c r="E256" s="334">
        <f t="shared" si="92"/>
        <v>552</v>
      </c>
      <c r="F256" s="335">
        <f>D256+200</f>
        <v>890</v>
      </c>
      <c r="G256" s="334">
        <f t="shared" si="94"/>
        <v>712</v>
      </c>
      <c r="H256" s="336">
        <f t="shared" si="96"/>
        <v>200</v>
      </c>
      <c r="I256" s="337">
        <f t="shared" si="96"/>
        <v>160</v>
      </c>
      <c r="J256" s="338">
        <f t="shared" si="97"/>
        <v>690</v>
      </c>
      <c r="K256" s="339">
        <f t="shared" si="95"/>
        <v>890</v>
      </c>
    </row>
    <row r="257" spans="1:11">
      <c r="A257" s="48"/>
      <c r="B257" s="318" t="s">
        <v>10</v>
      </c>
      <c r="C257" s="322">
        <v>1</v>
      </c>
      <c r="D257" s="373">
        <v>600</v>
      </c>
      <c r="E257" s="334">
        <f t="shared" si="92"/>
        <v>480</v>
      </c>
      <c r="F257" s="335">
        <f>D257+200</f>
        <v>800</v>
      </c>
      <c r="G257" s="334">
        <f t="shared" si="94"/>
        <v>640</v>
      </c>
      <c r="H257" s="336">
        <f t="shared" si="96"/>
        <v>200</v>
      </c>
      <c r="I257" s="337">
        <f t="shared" si="96"/>
        <v>160</v>
      </c>
      <c r="J257" s="338">
        <f>D257*C257</f>
        <v>600</v>
      </c>
      <c r="K257" s="339">
        <f>F257*C257</f>
        <v>800</v>
      </c>
    </row>
    <row r="258" spans="1:11" ht="15.75" thickBot="1">
      <c r="A258" s="48"/>
      <c r="B258" s="318" t="s">
        <v>11</v>
      </c>
      <c r="C258" s="322">
        <v>1</v>
      </c>
      <c r="D258" s="373">
        <v>580</v>
      </c>
      <c r="E258" s="334">
        <f t="shared" si="92"/>
        <v>464</v>
      </c>
      <c r="F258" s="335">
        <f>D258+200</f>
        <v>780</v>
      </c>
      <c r="G258" s="334">
        <f t="shared" si="94"/>
        <v>624</v>
      </c>
      <c r="H258" s="336">
        <f t="shared" si="96"/>
        <v>200</v>
      </c>
      <c r="I258" s="337">
        <f t="shared" si="96"/>
        <v>160</v>
      </c>
      <c r="J258" s="338">
        <f>D258*C258</f>
        <v>580</v>
      </c>
      <c r="K258" s="339">
        <f>F258*C258</f>
        <v>780</v>
      </c>
    </row>
    <row r="259" spans="1:11" ht="15.75" thickBot="1">
      <c r="A259" s="196">
        <v>17</v>
      </c>
      <c r="B259" s="74" t="s">
        <v>304</v>
      </c>
      <c r="C259" s="64">
        <f>SUM(C261:C273)-C263</f>
        <v>20</v>
      </c>
      <c r="D259" s="65">
        <v>105</v>
      </c>
      <c r="E259" s="65"/>
      <c r="F259" s="208">
        <v>105</v>
      </c>
      <c r="G259" s="242"/>
      <c r="H259" s="242"/>
      <c r="I259" s="242"/>
      <c r="J259" s="135">
        <f>SUM(J261:J273)</f>
        <v>14395</v>
      </c>
      <c r="K259" s="135">
        <f>SUM(K261:K273)</f>
        <v>19670</v>
      </c>
    </row>
    <row r="260" spans="1:11" ht="15.75" thickBot="1">
      <c r="A260" s="197"/>
      <c r="B260" s="74" t="s">
        <v>113</v>
      </c>
      <c r="C260" s="772">
        <v>105</v>
      </c>
      <c r="D260" s="773"/>
      <c r="E260" s="773"/>
      <c r="F260" s="773"/>
      <c r="G260" s="773"/>
      <c r="H260" s="773"/>
      <c r="I260" s="773"/>
      <c r="J260" s="773"/>
      <c r="K260" s="774"/>
    </row>
    <row r="261" spans="1:11" ht="16.5" customHeight="1">
      <c r="A261" s="51"/>
      <c r="B261" s="314" t="s">
        <v>7</v>
      </c>
      <c r="C261" s="319">
        <v>1</v>
      </c>
      <c r="D261" s="371">
        <v>990</v>
      </c>
      <c r="E261" s="324">
        <f t="shared" ref="E261:E273" si="98">D261-D261*0.2</f>
        <v>792</v>
      </c>
      <c r="F261" s="329">
        <f t="shared" ref="F261:F269" si="99">D261+200</f>
        <v>1190</v>
      </c>
      <c r="G261" s="328">
        <f t="shared" ref="G261:G273" si="100">F261-F261*0.2</f>
        <v>952</v>
      </c>
      <c r="H261" s="325">
        <f>F261-D261</f>
        <v>200</v>
      </c>
      <c r="I261" s="324">
        <f>G261-E261</f>
        <v>160</v>
      </c>
      <c r="J261" s="332">
        <f>D261*C261</f>
        <v>990</v>
      </c>
      <c r="K261" s="333">
        <f t="shared" ref="K261:K273" si="101">F261*C261</f>
        <v>1190</v>
      </c>
    </row>
    <row r="262" spans="1:11" ht="16.5" customHeight="1">
      <c r="A262" s="51"/>
      <c r="B262" s="315" t="s">
        <v>4</v>
      </c>
      <c r="C262" s="320">
        <v>1</v>
      </c>
      <c r="D262" s="372">
        <v>850</v>
      </c>
      <c r="E262" s="328">
        <f t="shared" si="98"/>
        <v>680</v>
      </c>
      <c r="F262" s="329">
        <f t="shared" si="99"/>
        <v>1050</v>
      </c>
      <c r="G262" s="328">
        <f t="shared" si="100"/>
        <v>840</v>
      </c>
      <c r="H262" s="330">
        <f t="shared" ref="H262:I273" si="102">F262-D262</f>
        <v>200</v>
      </c>
      <c r="I262" s="331">
        <f t="shared" si="102"/>
        <v>160</v>
      </c>
      <c r="J262" s="332">
        <f t="shared" ref="J262:J273" si="103">D262*C262</f>
        <v>850</v>
      </c>
      <c r="K262" s="333">
        <f t="shared" si="101"/>
        <v>1050</v>
      </c>
    </row>
    <row r="263" spans="1:11">
      <c r="A263" s="51"/>
      <c r="B263" s="315" t="s">
        <v>120</v>
      </c>
      <c r="C263" s="320">
        <v>4.5</v>
      </c>
      <c r="D263" s="395">
        <v>850</v>
      </c>
      <c r="E263" s="394">
        <f t="shared" si="98"/>
        <v>680</v>
      </c>
      <c r="F263" s="329"/>
      <c r="G263" s="328">
        <f t="shared" si="100"/>
        <v>0</v>
      </c>
      <c r="H263" s="391">
        <f t="shared" si="102"/>
        <v>-850</v>
      </c>
      <c r="I263" s="392">
        <f t="shared" si="102"/>
        <v>-680</v>
      </c>
      <c r="J263" s="332">
        <f t="shared" si="103"/>
        <v>3825</v>
      </c>
      <c r="K263" s="333">
        <f t="shared" si="101"/>
        <v>0</v>
      </c>
    </row>
    <row r="264" spans="1:11" ht="25.5">
      <c r="A264" s="48"/>
      <c r="B264" s="346" t="s">
        <v>361</v>
      </c>
      <c r="C264" s="347">
        <v>3</v>
      </c>
      <c r="D264" s="348">
        <v>850</v>
      </c>
      <c r="E264" s="334">
        <f t="shared" si="98"/>
        <v>680</v>
      </c>
      <c r="F264" s="335">
        <v>1050</v>
      </c>
      <c r="G264" s="334">
        <f t="shared" si="100"/>
        <v>840</v>
      </c>
      <c r="H264" s="336">
        <f t="shared" si="102"/>
        <v>200</v>
      </c>
      <c r="I264" s="337">
        <f t="shared" si="102"/>
        <v>160</v>
      </c>
      <c r="J264" s="338"/>
      <c r="K264" s="339">
        <f t="shared" si="101"/>
        <v>3150</v>
      </c>
    </row>
    <row r="265" spans="1:11">
      <c r="A265" s="48"/>
      <c r="B265" s="346" t="s">
        <v>360</v>
      </c>
      <c r="C265" s="347">
        <v>3</v>
      </c>
      <c r="D265" s="348">
        <v>425</v>
      </c>
      <c r="E265" s="334">
        <f t="shared" si="98"/>
        <v>340</v>
      </c>
      <c r="F265" s="335">
        <v>1050</v>
      </c>
      <c r="G265" s="334">
        <f t="shared" si="100"/>
        <v>840</v>
      </c>
      <c r="H265" s="336">
        <f t="shared" si="102"/>
        <v>625</v>
      </c>
      <c r="I265" s="337">
        <f t="shared" si="102"/>
        <v>500</v>
      </c>
      <c r="J265" s="338"/>
      <c r="K265" s="339">
        <f t="shared" si="101"/>
        <v>3150</v>
      </c>
    </row>
    <row r="266" spans="1:11">
      <c r="A266" s="51"/>
      <c r="B266" s="315" t="s">
        <v>8</v>
      </c>
      <c r="C266" s="320">
        <v>1</v>
      </c>
      <c r="D266" s="372">
        <v>790</v>
      </c>
      <c r="E266" s="328">
        <f t="shared" si="98"/>
        <v>632</v>
      </c>
      <c r="F266" s="329">
        <f t="shared" si="99"/>
        <v>990</v>
      </c>
      <c r="G266" s="328">
        <f t="shared" si="100"/>
        <v>792</v>
      </c>
      <c r="H266" s="330">
        <f t="shared" si="102"/>
        <v>200</v>
      </c>
      <c r="I266" s="331">
        <f t="shared" si="102"/>
        <v>160</v>
      </c>
      <c r="J266" s="332">
        <f t="shared" si="103"/>
        <v>790</v>
      </c>
      <c r="K266" s="333">
        <f t="shared" si="101"/>
        <v>990</v>
      </c>
    </row>
    <row r="267" spans="1:11">
      <c r="A267" s="51"/>
      <c r="B267" s="315" t="s">
        <v>289</v>
      </c>
      <c r="C267" s="320">
        <f>1+1</f>
        <v>2</v>
      </c>
      <c r="D267" s="372">
        <v>770</v>
      </c>
      <c r="E267" s="328">
        <f t="shared" si="98"/>
        <v>616</v>
      </c>
      <c r="F267" s="329">
        <f t="shared" si="99"/>
        <v>970</v>
      </c>
      <c r="G267" s="328">
        <f t="shared" si="100"/>
        <v>776</v>
      </c>
      <c r="H267" s="330">
        <f t="shared" si="102"/>
        <v>200</v>
      </c>
      <c r="I267" s="331">
        <f t="shared" si="102"/>
        <v>160</v>
      </c>
      <c r="J267" s="332">
        <f t="shared" si="103"/>
        <v>1540</v>
      </c>
      <c r="K267" s="333">
        <f t="shared" si="101"/>
        <v>1940</v>
      </c>
    </row>
    <row r="268" spans="1:11">
      <c r="A268" s="51"/>
      <c r="B268" s="315" t="s">
        <v>123</v>
      </c>
      <c r="C268" s="320">
        <v>1</v>
      </c>
      <c r="D268" s="372">
        <v>720</v>
      </c>
      <c r="E268" s="328">
        <f t="shared" si="98"/>
        <v>576</v>
      </c>
      <c r="F268" s="329">
        <f t="shared" si="99"/>
        <v>920</v>
      </c>
      <c r="G268" s="328">
        <f t="shared" si="100"/>
        <v>736</v>
      </c>
      <c r="H268" s="330">
        <f t="shared" si="102"/>
        <v>200</v>
      </c>
      <c r="I268" s="331">
        <f t="shared" si="102"/>
        <v>160</v>
      </c>
      <c r="J268" s="332">
        <f t="shared" si="103"/>
        <v>720</v>
      </c>
      <c r="K268" s="333">
        <f t="shared" si="101"/>
        <v>920</v>
      </c>
    </row>
    <row r="269" spans="1:11">
      <c r="A269" s="51"/>
      <c r="B269" s="315" t="s">
        <v>9</v>
      </c>
      <c r="C269" s="320">
        <v>2</v>
      </c>
      <c r="D269" s="372">
        <v>720</v>
      </c>
      <c r="E269" s="328">
        <f t="shared" si="98"/>
        <v>576</v>
      </c>
      <c r="F269" s="329">
        <f t="shared" si="99"/>
        <v>920</v>
      </c>
      <c r="G269" s="328">
        <f t="shared" si="100"/>
        <v>736</v>
      </c>
      <c r="H269" s="330">
        <f t="shared" si="102"/>
        <v>200</v>
      </c>
      <c r="I269" s="331">
        <f t="shared" si="102"/>
        <v>160</v>
      </c>
      <c r="J269" s="332">
        <f t="shared" si="103"/>
        <v>1440</v>
      </c>
      <c r="K269" s="333">
        <f t="shared" si="101"/>
        <v>1840</v>
      </c>
    </row>
    <row r="270" spans="1:11">
      <c r="A270" s="51"/>
      <c r="B270" s="315" t="s">
        <v>121</v>
      </c>
      <c r="C270" s="320">
        <v>3</v>
      </c>
      <c r="D270" s="372">
        <v>790</v>
      </c>
      <c r="E270" s="328">
        <f t="shared" si="98"/>
        <v>632</v>
      </c>
      <c r="F270" s="329">
        <f>D270+200</f>
        <v>990</v>
      </c>
      <c r="G270" s="328">
        <f t="shared" si="100"/>
        <v>792</v>
      </c>
      <c r="H270" s="330">
        <f t="shared" si="102"/>
        <v>200</v>
      </c>
      <c r="I270" s="331">
        <f t="shared" si="102"/>
        <v>160</v>
      </c>
      <c r="J270" s="332">
        <f t="shared" si="103"/>
        <v>2370</v>
      </c>
      <c r="K270" s="333">
        <f t="shared" si="101"/>
        <v>2970</v>
      </c>
    </row>
    <row r="271" spans="1:11" ht="24" customHeight="1">
      <c r="A271" s="51"/>
      <c r="B271" s="346" t="s">
        <v>122</v>
      </c>
      <c r="C271" s="322">
        <v>1</v>
      </c>
      <c r="D271" s="373">
        <v>690</v>
      </c>
      <c r="E271" s="334">
        <f t="shared" si="98"/>
        <v>552</v>
      </c>
      <c r="F271" s="335">
        <f>D271+200</f>
        <v>890</v>
      </c>
      <c r="G271" s="334">
        <f t="shared" si="100"/>
        <v>712</v>
      </c>
      <c r="H271" s="336">
        <f t="shared" si="102"/>
        <v>200</v>
      </c>
      <c r="I271" s="337">
        <f t="shared" si="102"/>
        <v>160</v>
      </c>
      <c r="J271" s="338">
        <f t="shared" si="103"/>
        <v>690</v>
      </c>
      <c r="K271" s="339">
        <f t="shared" si="101"/>
        <v>890</v>
      </c>
    </row>
    <row r="272" spans="1:11" ht="20.25" customHeight="1">
      <c r="A272" s="51"/>
      <c r="B272" s="346" t="s">
        <v>10</v>
      </c>
      <c r="C272" s="322">
        <v>1</v>
      </c>
      <c r="D272" s="373">
        <v>600</v>
      </c>
      <c r="E272" s="334">
        <f t="shared" si="98"/>
        <v>480</v>
      </c>
      <c r="F272" s="335">
        <f>D272+200</f>
        <v>800</v>
      </c>
      <c r="G272" s="334">
        <f t="shared" si="100"/>
        <v>640</v>
      </c>
      <c r="H272" s="336">
        <f t="shared" si="102"/>
        <v>200</v>
      </c>
      <c r="I272" s="337">
        <f t="shared" si="102"/>
        <v>160</v>
      </c>
      <c r="J272" s="338">
        <f t="shared" si="103"/>
        <v>600</v>
      </c>
      <c r="K272" s="339">
        <f t="shared" si="101"/>
        <v>800</v>
      </c>
    </row>
    <row r="273" spans="1:11" ht="15.75" thickBot="1">
      <c r="A273" s="51"/>
      <c r="B273" s="346" t="s">
        <v>11</v>
      </c>
      <c r="C273" s="322">
        <v>1</v>
      </c>
      <c r="D273" s="373">
        <v>580</v>
      </c>
      <c r="E273" s="334">
        <f t="shared" si="98"/>
        <v>464</v>
      </c>
      <c r="F273" s="335">
        <f>D273+200</f>
        <v>780</v>
      </c>
      <c r="G273" s="334">
        <f t="shared" si="100"/>
        <v>624</v>
      </c>
      <c r="H273" s="336">
        <f t="shared" si="102"/>
        <v>200</v>
      </c>
      <c r="I273" s="337">
        <f t="shared" si="102"/>
        <v>160</v>
      </c>
      <c r="J273" s="338">
        <f t="shared" si="103"/>
        <v>580</v>
      </c>
      <c r="K273" s="339">
        <f t="shared" si="101"/>
        <v>780</v>
      </c>
    </row>
    <row r="274" spans="1:11" ht="15.75" thickBot="1">
      <c r="A274" s="196">
        <v>18</v>
      </c>
      <c r="B274" s="74" t="s">
        <v>305</v>
      </c>
      <c r="C274" s="382">
        <f>SUM(C276:C288)-C278</f>
        <v>21</v>
      </c>
      <c r="D274" s="384">
        <v>105</v>
      </c>
      <c r="E274" s="386"/>
      <c r="F274" s="383">
        <v>105</v>
      </c>
      <c r="G274" s="242"/>
      <c r="H274" s="242"/>
      <c r="I274" s="242"/>
      <c r="J274" s="135">
        <f>SUM(J276:J288)</f>
        <v>15165</v>
      </c>
      <c r="K274" s="135">
        <f>SUM(K276:K288)</f>
        <v>20640</v>
      </c>
    </row>
    <row r="275" spans="1:11" ht="15.75" thickBot="1">
      <c r="A275" s="197"/>
      <c r="B275" s="74" t="s">
        <v>113</v>
      </c>
      <c r="C275" s="772">
        <v>105</v>
      </c>
      <c r="D275" s="773"/>
      <c r="E275" s="773"/>
      <c r="F275" s="773"/>
      <c r="G275" s="773"/>
      <c r="H275" s="773"/>
      <c r="I275" s="773"/>
      <c r="J275" s="773"/>
      <c r="K275" s="774"/>
    </row>
    <row r="276" spans="1:11" ht="16.5" customHeight="1">
      <c r="A276" s="51"/>
      <c r="B276" s="314" t="s">
        <v>7</v>
      </c>
      <c r="C276" s="319">
        <v>1</v>
      </c>
      <c r="D276" s="371">
        <v>990</v>
      </c>
      <c r="E276" s="324">
        <f t="shared" ref="E276:E288" si="104">D276-D276*0.2</f>
        <v>792</v>
      </c>
      <c r="F276" s="329">
        <f t="shared" ref="F276:F284" si="105">D276+200</f>
        <v>1190</v>
      </c>
      <c r="G276" s="328">
        <f t="shared" ref="G276:G288" si="106">F276-F276*0.2</f>
        <v>952</v>
      </c>
      <c r="H276" s="325">
        <f>F276-D276</f>
        <v>200</v>
      </c>
      <c r="I276" s="324">
        <f>G276-E276</f>
        <v>160</v>
      </c>
      <c r="J276" s="332">
        <f>D276*C276</f>
        <v>990</v>
      </c>
      <c r="K276" s="333">
        <f t="shared" ref="K276:K288" si="107">F276*C276</f>
        <v>1190</v>
      </c>
    </row>
    <row r="277" spans="1:11" ht="16.5" customHeight="1">
      <c r="A277" s="51"/>
      <c r="B277" s="315" t="s">
        <v>4</v>
      </c>
      <c r="C277" s="320">
        <v>1</v>
      </c>
      <c r="D277" s="372">
        <v>850</v>
      </c>
      <c r="E277" s="328">
        <f t="shared" si="104"/>
        <v>680</v>
      </c>
      <c r="F277" s="329">
        <f t="shared" si="105"/>
        <v>1050</v>
      </c>
      <c r="G277" s="328">
        <f t="shared" si="106"/>
        <v>840</v>
      </c>
      <c r="H277" s="330">
        <f t="shared" ref="H277:I288" si="108">F277-D277</f>
        <v>200</v>
      </c>
      <c r="I277" s="331">
        <f t="shared" si="108"/>
        <v>160</v>
      </c>
      <c r="J277" s="332">
        <f t="shared" ref="J277:J288" si="109">D277*C277</f>
        <v>850</v>
      </c>
      <c r="K277" s="333">
        <f t="shared" si="107"/>
        <v>1050</v>
      </c>
    </row>
    <row r="278" spans="1:11">
      <c r="A278" s="51"/>
      <c r="B278" s="315" t="s">
        <v>120</v>
      </c>
      <c r="C278" s="320">
        <v>4.5</v>
      </c>
      <c r="D278" s="395">
        <v>850</v>
      </c>
      <c r="E278" s="394">
        <f t="shared" si="104"/>
        <v>680</v>
      </c>
      <c r="F278" s="329"/>
      <c r="G278" s="328">
        <f t="shared" si="106"/>
        <v>0</v>
      </c>
      <c r="H278" s="391">
        <f t="shared" si="108"/>
        <v>-850</v>
      </c>
      <c r="I278" s="392">
        <f t="shared" si="108"/>
        <v>-680</v>
      </c>
      <c r="J278" s="332">
        <f t="shared" si="109"/>
        <v>3825</v>
      </c>
      <c r="K278" s="333">
        <f t="shared" si="107"/>
        <v>0</v>
      </c>
    </row>
    <row r="279" spans="1:11" ht="25.5">
      <c r="A279" s="48"/>
      <c r="B279" s="346" t="s">
        <v>361</v>
      </c>
      <c r="C279" s="347">
        <v>3</v>
      </c>
      <c r="D279" s="348">
        <v>850</v>
      </c>
      <c r="E279" s="334">
        <f t="shared" si="104"/>
        <v>680</v>
      </c>
      <c r="F279" s="335">
        <v>1050</v>
      </c>
      <c r="G279" s="334">
        <f t="shared" si="106"/>
        <v>840</v>
      </c>
      <c r="H279" s="336">
        <f t="shared" si="108"/>
        <v>200</v>
      </c>
      <c r="I279" s="337">
        <f t="shared" si="108"/>
        <v>160</v>
      </c>
      <c r="J279" s="338"/>
      <c r="K279" s="339">
        <f t="shared" si="107"/>
        <v>3150</v>
      </c>
    </row>
    <row r="280" spans="1:11">
      <c r="A280" s="48"/>
      <c r="B280" s="346" t="s">
        <v>360</v>
      </c>
      <c r="C280" s="347">
        <v>3</v>
      </c>
      <c r="D280" s="348">
        <v>425</v>
      </c>
      <c r="E280" s="334">
        <f t="shared" si="104"/>
        <v>340</v>
      </c>
      <c r="F280" s="335">
        <v>1050</v>
      </c>
      <c r="G280" s="334">
        <f t="shared" si="106"/>
        <v>840</v>
      </c>
      <c r="H280" s="336">
        <f t="shared" si="108"/>
        <v>625</v>
      </c>
      <c r="I280" s="337">
        <f t="shared" si="108"/>
        <v>500</v>
      </c>
      <c r="J280" s="338"/>
      <c r="K280" s="339">
        <f t="shared" si="107"/>
        <v>3150</v>
      </c>
    </row>
    <row r="281" spans="1:11">
      <c r="A281" s="51"/>
      <c r="B281" s="315" t="s">
        <v>8</v>
      </c>
      <c r="C281" s="320">
        <v>1</v>
      </c>
      <c r="D281" s="372">
        <v>790</v>
      </c>
      <c r="E281" s="328">
        <f t="shared" si="104"/>
        <v>632</v>
      </c>
      <c r="F281" s="329">
        <f t="shared" si="105"/>
        <v>990</v>
      </c>
      <c r="G281" s="328">
        <f t="shared" si="106"/>
        <v>792</v>
      </c>
      <c r="H281" s="330">
        <f t="shared" si="108"/>
        <v>200</v>
      </c>
      <c r="I281" s="331">
        <f t="shared" si="108"/>
        <v>160</v>
      </c>
      <c r="J281" s="332">
        <f t="shared" si="109"/>
        <v>790</v>
      </c>
      <c r="K281" s="333">
        <f t="shared" si="107"/>
        <v>990</v>
      </c>
    </row>
    <row r="282" spans="1:11">
      <c r="A282" s="51"/>
      <c r="B282" s="315" t="s">
        <v>289</v>
      </c>
      <c r="C282" s="320">
        <f>2+1</f>
        <v>3</v>
      </c>
      <c r="D282" s="372">
        <v>770</v>
      </c>
      <c r="E282" s="328">
        <f t="shared" si="104"/>
        <v>616</v>
      </c>
      <c r="F282" s="329">
        <f t="shared" si="105"/>
        <v>970</v>
      </c>
      <c r="G282" s="328">
        <f t="shared" si="106"/>
        <v>776</v>
      </c>
      <c r="H282" s="330">
        <f t="shared" si="108"/>
        <v>200</v>
      </c>
      <c r="I282" s="331">
        <f t="shared" si="108"/>
        <v>160</v>
      </c>
      <c r="J282" s="332">
        <f t="shared" si="109"/>
        <v>2310</v>
      </c>
      <c r="K282" s="333">
        <f t="shared" si="107"/>
        <v>2910</v>
      </c>
    </row>
    <row r="283" spans="1:11">
      <c r="A283" s="51"/>
      <c r="B283" s="315" t="s">
        <v>123</v>
      </c>
      <c r="C283" s="320">
        <v>1</v>
      </c>
      <c r="D283" s="372">
        <v>720</v>
      </c>
      <c r="E283" s="328">
        <f t="shared" si="104"/>
        <v>576</v>
      </c>
      <c r="F283" s="329">
        <f t="shared" si="105"/>
        <v>920</v>
      </c>
      <c r="G283" s="328">
        <f t="shared" si="106"/>
        <v>736</v>
      </c>
      <c r="H283" s="330">
        <f t="shared" si="108"/>
        <v>200</v>
      </c>
      <c r="I283" s="331">
        <f t="shared" si="108"/>
        <v>160</v>
      </c>
      <c r="J283" s="332">
        <f t="shared" si="109"/>
        <v>720</v>
      </c>
      <c r="K283" s="333">
        <f t="shared" si="107"/>
        <v>920</v>
      </c>
    </row>
    <row r="284" spans="1:11">
      <c r="A284" s="51"/>
      <c r="B284" s="315" t="s">
        <v>9</v>
      </c>
      <c r="C284" s="320">
        <v>2</v>
      </c>
      <c r="D284" s="372">
        <v>720</v>
      </c>
      <c r="E284" s="328">
        <f t="shared" si="104"/>
        <v>576</v>
      </c>
      <c r="F284" s="329">
        <f t="shared" si="105"/>
        <v>920</v>
      </c>
      <c r="G284" s="328">
        <f t="shared" si="106"/>
        <v>736</v>
      </c>
      <c r="H284" s="330">
        <f t="shared" si="108"/>
        <v>200</v>
      </c>
      <c r="I284" s="331">
        <f t="shared" si="108"/>
        <v>160</v>
      </c>
      <c r="J284" s="332">
        <f t="shared" si="109"/>
        <v>1440</v>
      </c>
      <c r="K284" s="333">
        <f t="shared" si="107"/>
        <v>1840</v>
      </c>
    </row>
    <row r="285" spans="1:11">
      <c r="A285" s="51"/>
      <c r="B285" s="315" t="s">
        <v>121</v>
      </c>
      <c r="C285" s="320">
        <v>3</v>
      </c>
      <c r="D285" s="372">
        <v>790</v>
      </c>
      <c r="E285" s="328">
        <f t="shared" si="104"/>
        <v>632</v>
      </c>
      <c r="F285" s="329">
        <f>D285+200</f>
        <v>990</v>
      </c>
      <c r="G285" s="328">
        <f t="shared" si="106"/>
        <v>792</v>
      </c>
      <c r="H285" s="330">
        <f t="shared" si="108"/>
        <v>200</v>
      </c>
      <c r="I285" s="331">
        <f t="shared" si="108"/>
        <v>160</v>
      </c>
      <c r="J285" s="332">
        <f t="shared" si="109"/>
        <v>2370</v>
      </c>
      <c r="K285" s="333">
        <f t="shared" si="107"/>
        <v>2970</v>
      </c>
    </row>
    <row r="286" spans="1:11" ht="29.25" customHeight="1">
      <c r="A286" s="51"/>
      <c r="B286" s="346" t="s">
        <v>122</v>
      </c>
      <c r="C286" s="322">
        <v>1</v>
      </c>
      <c r="D286" s="373">
        <v>690</v>
      </c>
      <c r="E286" s="334">
        <f t="shared" si="104"/>
        <v>552</v>
      </c>
      <c r="F286" s="335">
        <f>D286+200</f>
        <v>890</v>
      </c>
      <c r="G286" s="334">
        <f t="shared" si="106"/>
        <v>712</v>
      </c>
      <c r="H286" s="336">
        <f t="shared" si="108"/>
        <v>200</v>
      </c>
      <c r="I286" s="337">
        <f t="shared" si="108"/>
        <v>160</v>
      </c>
      <c r="J286" s="338">
        <f t="shared" si="109"/>
        <v>690</v>
      </c>
      <c r="K286" s="339">
        <f t="shared" si="107"/>
        <v>890</v>
      </c>
    </row>
    <row r="287" spans="1:11" ht="24" customHeight="1">
      <c r="A287" s="51"/>
      <c r="B287" s="346" t="s">
        <v>10</v>
      </c>
      <c r="C287" s="322">
        <v>1</v>
      </c>
      <c r="D287" s="373">
        <v>600</v>
      </c>
      <c r="E287" s="334">
        <f t="shared" si="104"/>
        <v>480</v>
      </c>
      <c r="F287" s="335">
        <f>D287+200</f>
        <v>800</v>
      </c>
      <c r="G287" s="334">
        <f t="shared" si="106"/>
        <v>640</v>
      </c>
      <c r="H287" s="336">
        <f t="shared" si="108"/>
        <v>200</v>
      </c>
      <c r="I287" s="337">
        <f t="shared" si="108"/>
        <v>160</v>
      </c>
      <c r="J287" s="338">
        <f t="shared" si="109"/>
        <v>600</v>
      </c>
      <c r="K287" s="339">
        <f t="shared" si="107"/>
        <v>800</v>
      </c>
    </row>
    <row r="288" spans="1:11" ht="18" customHeight="1" thickBot="1">
      <c r="A288" s="51"/>
      <c r="B288" s="346" t="s">
        <v>11</v>
      </c>
      <c r="C288" s="322">
        <v>1</v>
      </c>
      <c r="D288" s="373">
        <v>580</v>
      </c>
      <c r="E288" s="334">
        <f t="shared" si="104"/>
        <v>464</v>
      </c>
      <c r="F288" s="335">
        <f>D288+200</f>
        <v>780</v>
      </c>
      <c r="G288" s="334">
        <f t="shared" si="106"/>
        <v>624</v>
      </c>
      <c r="H288" s="336">
        <f t="shared" si="108"/>
        <v>200</v>
      </c>
      <c r="I288" s="337">
        <f t="shared" si="108"/>
        <v>160</v>
      </c>
      <c r="J288" s="338">
        <f t="shared" si="109"/>
        <v>580</v>
      </c>
      <c r="K288" s="339">
        <f t="shared" si="107"/>
        <v>780</v>
      </c>
    </row>
    <row r="289" spans="1:11" ht="18" customHeight="1" thickBot="1">
      <c r="A289" s="196">
        <v>19</v>
      </c>
      <c r="B289" s="74" t="s">
        <v>306</v>
      </c>
      <c r="C289" s="382">
        <f>SUM(C291:C303)-C293</f>
        <v>16</v>
      </c>
      <c r="D289" s="384">
        <v>70</v>
      </c>
      <c r="E289" s="386"/>
      <c r="F289" s="383">
        <v>70</v>
      </c>
      <c r="G289" s="242"/>
      <c r="H289" s="242"/>
      <c r="I289" s="242"/>
      <c r="J289" s="135">
        <f>SUM(J291:J303)</f>
        <v>11610</v>
      </c>
      <c r="K289" s="135">
        <f>SUM(K291:K303)</f>
        <v>15660</v>
      </c>
    </row>
    <row r="290" spans="1:11" ht="18" customHeight="1" thickBot="1">
      <c r="A290" s="197"/>
      <c r="B290" s="74" t="s">
        <v>113</v>
      </c>
      <c r="C290" s="772">
        <v>70</v>
      </c>
      <c r="D290" s="773"/>
      <c r="E290" s="773"/>
      <c r="F290" s="773"/>
      <c r="G290" s="773"/>
      <c r="H290" s="773"/>
      <c r="I290" s="773"/>
      <c r="J290" s="773"/>
      <c r="K290" s="774"/>
    </row>
    <row r="291" spans="1:11" ht="18" customHeight="1">
      <c r="A291" s="51"/>
      <c r="B291" s="314" t="s">
        <v>7</v>
      </c>
      <c r="C291" s="319">
        <v>1</v>
      </c>
      <c r="D291" s="371">
        <v>990</v>
      </c>
      <c r="E291" s="324">
        <f t="shared" ref="E291:E303" si="110">D291-D291*0.2</f>
        <v>792</v>
      </c>
      <c r="F291" s="329">
        <f t="shared" ref="F291:F299" si="111">D291+200</f>
        <v>1190</v>
      </c>
      <c r="G291" s="328">
        <f t="shared" ref="G291:G303" si="112">F291-F291*0.2</f>
        <v>952</v>
      </c>
      <c r="H291" s="325">
        <f>F291-D291</f>
        <v>200</v>
      </c>
      <c r="I291" s="324">
        <f>G291-E291</f>
        <v>160</v>
      </c>
      <c r="J291" s="332">
        <f>D291*C291</f>
        <v>990</v>
      </c>
      <c r="K291" s="333">
        <f t="shared" ref="K291:K303" si="113">F291*C291</f>
        <v>1190</v>
      </c>
    </row>
    <row r="292" spans="1:11" ht="18" customHeight="1">
      <c r="A292" s="51"/>
      <c r="B292" s="315" t="s">
        <v>4</v>
      </c>
      <c r="C292" s="320">
        <v>1</v>
      </c>
      <c r="D292" s="372">
        <v>850</v>
      </c>
      <c r="E292" s="328">
        <f t="shared" si="110"/>
        <v>680</v>
      </c>
      <c r="F292" s="329">
        <f t="shared" si="111"/>
        <v>1050</v>
      </c>
      <c r="G292" s="328">
        <f t="shared" si="112"/>
        <v>840</v>
      </c>
      <c r="H292" s="330">
        <f t="shared" ref="H292:I303" si="114">F292-D292</f>
        <v>200</v>
      </c>
      <c r="I292" s="331">
        <f t="shared" si="114"/>
        <v>160</v>
      </c>
      <c r="J292" s="332">
        <f t="shared" ref="J292:J303" si="115">D292*C292</f>
        <v>850</v>
      </c>
      <c r="K292" s="333">
        <f t="shared" si="113"/>
        <v>1050</v>
      </c>
    </row>
    <row r="293" spans="1:11" ht="18" customHeight="1">
      <c r="A293" s="51"/>
      <c r="B293" s="315" t="s">
        <v>120</v>
      </c>
      <c r="C293" s="320">
        <v>3</v>
      </c>
      <c r="D293" s="395">
        <v>850</v>
      </c>
      <c r="E293" s="394">
        <f t="shared" si="110"/>
        <v>680</v>
      </c>
      <c r="F293" s="329"/>
      <c r="G293" s="328">
        <f t="shared" si="112"/>
        <v>0</v>
      </c>
      <c r="H293" s="391">
        <f t="shared" si="114"/>
        <v>-850</v>
      </c>
      <c r="I293" s="392">
        <f t="shared" si="114"/>
        <v>-680</v>
      </c>
      <c r="J293" s="332">
        <f t="shared" si="115"/>
        <v>2550</v>
      </c>
      <c r="K293" s="333">
        <f t="shared" si="113"/>
        <v>0</v>
      </c>
    </row>
    <row r="294" spans="1:11" ht="18" customHeight="1">
      <c r="A294" s="48"/>
      <c r="B294" s="346" t="s">
        <v>361</v>
      </c>
      <c r="C294" s="347">
        <v>2</v>
      </c>
      <c r="D294" s="348">
        <v>850</v>
      </c>
      <c r="E294" s="334">
        <f t="shared" si="110"/>
        <v>680</v>
      </c>
      <c r="F294" s="335">
        <v>1050</v>
      </c>
      <c r="G294" s="334">
        <f t="shared" si="112"/>
        <v>840</v>
      </c>
      <c r="H294" s="336">
        <f t="shared" si="114"/>
        <v>200</v>
      </c>
      <c r="I294" s="337">
        <f t="shared" si="114"/>
        <v>160</v>
      </c>
      <c r="J294" s="338"/>
      <c r="K294" s="339">
        <f t="shared" si="113"/>
        <v>2100</v>
      </c>
    </row>
    <row r="295" spans="1:11" ht="18" customHeight="1">
      <c r="A295" s="48"/>
      <c r="B295" s="346" t="s">
        <v>360</v>
      </c>
      <c r="C295" s="347">
        <v>2</v>
      </c>
      <c r="D295" s="348">
        <v>425</v>
      </c>
      <c r="E295" s="334">
        <f t="shared" si="110"/>
        <v>340</v>
      </c>
      <c r="F295" s="335">
        <v>1050</v>
      </c>
      <c r="G295" s="334">
        <f t="shared" si="112"/>
        <v>840</v>
      </c>
      <c r="H295" s="336">
        <f t="shared" si="114"/>
        <v>625</v>
      </c>
      <c r="I295" s="337">
        <f t="shared" si="114"/>
        <v>500</v>
      </c>
      <c r="J295" s="338"/>
      <c r="K295" s="339">
        <f t="shared" si="113"/>
        <v>2100</v>
      </c>
    </row>
    <row r="296" spans="1:11" ht="18" customHeight="1">
      <c r="A296" s="51"/>
      <c r="B296" s="315" t="s">
        <v>8</v>
      </c>
      <c r="C296" s="320">
        <v>1</v>
      </c>
      <c r="D296" s="372">
        <v>790</v>
      </c>
      <c r="E296" s="328">
        <f t="shared" si="110"/>
        <v>632</v>
      </c>
      <c r="F296" s="329">
        <f t="shared" si="111"/>
        <v>990</v>
      </c>
      <c r="G296" s="328">
        <f t="shared" si="112"/>
        <v>792</v>
      </c>
      <c r="H296" s="330">
        <f t="shared" si="114"/>
        <v>200</v>
      </c>
      <c r="I296" s="331">
        <f t="shared" si="114"/>
        <v>160</v>
      </c>
      <c r="J296" s="332">
        <f t="shared" si="115"/>
        <v>790</v>
      </c>
      <c r="K296" s="333">
        <f t="shared" si="113"/>
        <v>990</v>
      </c>
    </row>
    <row r="297" spans="1:11" ht="18" customHeight="1">
      <c r="A297" s="51"/>
      <c r="B297" s="315" t="s">
        <v>289</v>
      </c>
      <c r="C297" s="320">
        <f>1+1</f>
        <v>2</v>
      </c>
      <c r="D297" s="372">
        <v>770</v>
      </c>
      <c r="E297" s="328">
        <f t="shared" si="110"/>
        <v>616</v>
      </c>
      <c r="F297" s="329">
        <f t="shared" si="111"/>
        <v>970</v>
      </c>
      <c r="G297" s="328">
        <f t="shared" si="112"/>
        <v>776</v>
      </c>
      <c r="H297" s="330">
        <f t="shared" si="114"/>
        <v>200</v>
      </c>
      <c r="I297" s="331">
        <f t="shared" si="114"/>
        <v>160</v>
      </c>
      <c r="J297" s="332">
        <f t="shared" si="115"/>
        <v>1540</v>
      </c>
      <c r="K297" s="333">
        <f t="shared" si="113"/>
        <v>1940</v>
      </c>
    </row>
    <row r="298" spans="1:11" ht="18" customHeight="1">
      <c r="A298" s="51"/>
      <c r="B298" s="315" t="s">
        <v>123</v>
      </c>
      <c r="C298" s="320">
        <v>1</v>
      </c>
      <c r="D298" s="372">
        <v>720</v>
      </c>
      <c r="E298" s="328">
        <f t="shared" si="110"/>
        <v>576</v>
      </c>
      <c r="F298" s="329">
        <f t="shared" si="111"/>
        <v>920</v>
      </c>
      <c r="G298" s="328">
        <f t="shared" si="112"/>
        <v>736</v>
      </c>
      <c r="H298" s="330">
        <f t="shared" si="114"/>
        <v>200</v>
      </c>
      <c r="I298" s="331">
        <f t="shared" si="114"/>
        <v>160</v>
      </c>
      <c r="J298" s="332">
        <f t="shared" si="115"/>
        <v>720</v>
      </c>
      <c r="K298" s="333">
        <f t="shared" si="113"/>
        <v>920</v>
      </c>
    </row>
    <row r="299" spans="1:11" ht="18" customHeight="1">
      <c r="A299" s="51"/>
      <c r="B299" s="315" t="s">
        <v>9</v>
      </c>
      <c r="C299" s="320">
        <v>1</v>
      </c>
      <c r="D299" s="372">
        <v>720</v>
      </c>
      <c r="E299" s="328">
        <f t="shared" si="110"/>
        <v>576</v>
      </c>
      <c r="F299" s="329">
        <f t="shared" si="111"/>
        <v>920</v>
      </c>
      <c r="G299" s="328">
        <f t="shared" si="112"/>
        <v>736</v>
      </c>
      <c r="H299" s="330">
        <f t="shared" si="114"/>
        <v>200</v>
      </c>
      <c r="I299" s="331">
        <f t="shared" si="114"/>
        <v>160</v>
      </c>
      <c r="J299" s="332">
        <f t="shared" si="115"/>
        <v>720</v>
      </c>
      <c r="K299" s="333">
        <f t="shared" si="113"/>
        <v>920</v>
      </c>
    </row>
    <row r="300" spans="1:11" ht="18" customHeight="1">
      <c r="A300" s="51"/>
      <c r="B300" s="315" t="s">
        <v>121</v>
      </c>
      <c r="C300" s="320">
        <v>2</v>
      </c>
      <c r="D300" s="372">
        <v>790</v>
      </c>
      <c r="E300" s="328">
        <f t="shared" si="110"/>
        <v>632</v>
      </c>
      <c r="F300" s="329">
        <f>D300+200</f>
        <v>990</v>
      </c>
      <c r="G300" s="328">
        <f t="shared" si="112"/>
        <v>792</v>
      </c>
      <c r="H300" s="330">
        <f t="shared" si="114"/>
        <v>200</v>
      </c>
      <c r="I300" s="331">
        <f t="shared" si="114"/>
        <v>160</v>
      </c>
      <c r="J300" s="332">
        <f t="shared" si="115"/>
        <v>1580</v>
      </c>
      <c r="K300" s="333">
        <f t="shared" si="113"/>
        <v>1980</v>
      </c>
    </row>
    <row r="301" spans="1:11" ht="22.5" customHeight="1">
      <c r="A301" s="51"/>
      <c r="B301" s="346" t="s">
        <v>122</v>
      </c>
      <c r="C301" s="322">
        <v>1</v>
      </c>
      <c r="D301" s="373">
        <v>690</v>
      </c>
      <c r="E301" s="334">
        <f t="shared" si="110"/>
        <v>552</v>
      </c>
      <c r="F301" s="335">
        <f>D301+200</f>
        <v>890</v>
      </c>
      <c r="G301" s="334">
        <f t="shared" si="112"/>
        <v>712</v>
      </c>
      <c r="H301" s="336">
        <f t="shared" si="114"/>
        <v>200</v>
      </c>
      <c r="I301" s="337">
        <f t="shared" si="114"/>
        <v>160</v>
      </c>
      <c r="J301" s="338">
        <f t="shared" si="115"/>
        <v>690</v>
      </c>
      <c r="K301" s="339">
        <f t="shared" si="113"/>
        <v>890</v>
      </c>
    </row>
    <row r="302" spans="1:11" ht="22.5" customHeight="1">
      <c r="A302" s="51"/>
      <c r="B302" s="346" t="s">
        <v>10</v>
      </c>
      <c r="C302" s="322">
        <v>1</v>
      </c>
      <c r="D302" s="373">
        <v>600</v>
      </c>
      <c r="E302" s="334">
        <f t="shared" si="110"/>
        <v>480</v>
      </c>
      <c r="F302" s="335">
        <f>D302+200</f>
        <v>800</v>
      </c>
      <c r="G302" s="334">
        <f t="shared" si="112"/>
        <v>640</v>
      </c>
      <c r="H302" s="336">
        <f t="shared" si="114"/>
        <v>200</v>
      </c>
      <c r="I302" s="337">
        <f t="shared" si="114"/>
        <v>160</v>
      </c>
      <c r="J302" s="338">
        <f t="shared" si="115"/>
        <v>600</v>
      </c>
      <c r="K302" s="339">
        <f t="shared" si="113"/>
        <v>800</v>
      </c>
    </row>
    <row r="303" spans="1:11" ht="17.25" customHeight="1" thickBot="1">
      <c r="A303" s="51"/>
      <c r="B303" s="346" t="s">
        <v>11</v>
      </c>
      <c r="C303" s="322">
        <v>1</v>
      </c>
      <c r="D303" s="373">
        <v>580</v>
      </c>
      <c r="E303" s="334">
        <f t="shared" si="110"/>
        <v>464</v>
      </c>
      <c r="F303" s="335">
        <f>D303+200</f>
        <v>780</v>
      </c>
      <c r="G303" s="334">
        <f t="shared" si="112"/>
        <v>624</v>
      </c>
      <c r="H303" s="336">
        <f t="shared" si="114"/>
        <v>200</v>
      </c>
      <c r="I303" s="337">
        <f t="shared" si="114"/>
        <v>160</v>
      </c>
      <c r="J303" s="338">
        <f t="shared" si="115"/>
        <v>580</v>
      </c>
      <c r="K303" s="339">
        <f t="shared" si="113"/>
        <v>780</v>
      </c>
    </row>
    <row r="304" spans="1:11" ht="17.25" customHeight="1" thickBot="1">
      <c r="A304" s="196">
        <v>20</v>
      </c>
      <c r="B304" s="74" t="s">
        <v>307</v>
      </c>
      <c r="C304" s="382">
        <f>SUM(C306:C318)-C308</f>
        <v>15</v>
      </c>
      <c r="D304" s="384">
        <v>70</v>
      </c>
      <c r="E304" s="386"/>
      <c r="F304" s="383">
        <v>70</v>
      </c>
      <c r="G304" s="242"/>
      <c r="H304" s="242"/>
      <c r="I304" s="242"/>
      <c r="J304" s="135">
        <f>SUM(J306:J318)</f>
        <v>10840</v>
      </c>
      <c r="K304" s="135">
        <f>SUM(K306:K318)</f>
        <v>14690</v>
      </c>
    </row>
    <row r="305" spans="1:11" ht="17.25" customHeight="1" thickBot="1">
      <c r="A305" s="197"/>
      <c r="B305" s="74" t="s">
        <v>114</v>
      </c>
      <c r="C305" s="772">
        <v>70</v>
      </c>
      <c r="D305" s="773"/>
      <c r="E305" s="773"/>
      <c r="F305" s="773"/>
      <c r="G305" s="773"/>
      <c r="H305" s="773"/>
      <c r="I305" s="773"/>
      <c r="J305" s="773"/>
      <c r="K305" s="774"/>
    </row>
    <row r="306" spans="1:11" ht="17.25" customHeight="1">
      <c r="A306" s="48"/>
      <c r="B306" s="314" t="s">
        <v>7</v>
      </c>
      <c r="C306" s="319">
        <v>1</v>
      </c>
      <c r="D306" s="371">
        <v>990</v>
      </c>
      <c r="E306" s="324">
        <f t="shared" ref="E306:E318" si="116">D306-D306*0.2</f>
        <v>792</v>
      </c>
      <c r="F306" s="329">
        <f t="shared" ref="F306:F314" si="117">D306+200</f>
        <v>1190</v>
      </c>
      <c r="G306" s="328">
        <f t="shared" ref="G306:G318" si="118">F306-F306*0.2</f>
        <v>952</v>
      </c>
      <c r="H306" s="325">
        <f>F306-D306</f>
        <v>200</v>
      </c>
      <c r="I306" s="324">
        <f>G306-E306</f>
        <v>160</v>
      </c>
      <c r="J306" s="332">
        <f>D306*C306</f>
        <v>990</v>
      </c>
      <c r="K306" s="333">
        <f t="shared" ref="K306:K318" si="119">F306*C306</f>
        <v>1190</v>
      </c>
    </row>
    <row r="307" spans="1:11" ht="17.25" customHeight="1">
      <c r="A307" s="48"/>
      <c r="B307" s="315" t="s">
        <v>4</v>
      </c>
      <c r="C307" s="320">
        <v>1</v>
      </c>
      <c r="D307" s="372">
        <v>850</v>
      </c>
      <c r="E307" s="328">
        <f t="shared" si="116"/>
        <v>680</v>
      </c>
      <c r="F307" s="329">
        <f t="shared" si="117"/>
        <v>1050</v>
      </c>
      <c r="G307" s="328">
        <f t="shared" si="118"/>
        <v>840</v>
      </c>
      <c r="H307" s="330">
        <f t="shared" ref="H307:I318" si="120">F307-D307</f>
        <v>200</v>
      </c>
      <c r="I307" s="331">
        <f t="shared" si="120"/>
        <v>160</v>
      </c>
      <c r="J307" s="332">
        <f t="shared" ref="J307:J318" si="121">D307*C307</f>
        <v>850</v>
      </c>
      <c r="K307" s="333">
        <f t="shared" si="119"/>
        <v>1050</v>
      </c>
    </row>
    <row r="308" spans="1:11" ht="17.25" customHeight="1">
      <c r="A308" s="48"/>
      <c r="B308" s="315" t="s">
        <v>120</v>
      </c>
      <c r="C308" s="320">
        <v>3</v>
      </c>
      <c r="D308" s="395">
        <v>850</v>
      </c>
      <c r="E308" s="394">
        <f t="shared" si="116"/>
        <v>680</v>
      </c>
      <c r="F308" s="329"/>
      <c r="G308" s="328">
        <f t="shared" si="118"/>
        <v>0</v>
      </c>
      <c r="H308" s="391">
        <f t="shared" si="120"/>
        <v>-850</v>
      </c>
      <c r="I308" s="392">
        <f t="shared" si="120"/>
        <v>-680</v>
      </c>
      <c r="J308" s="332">
        <f t="shared" si="121"/>
        <v>2550</v>
      </c>
      <c r="K308" s="333">
        <f t="shared" si="119"/>
        <v>0</v>
      </c>
    </row>
    <row r="309" spans="1:11" ht="17.25" customHeight="1">
      <c r="A309" s="48"/>
      <c r="B309" s="346" t="s">
        <v>361</v>
      </c>
      <c r="C309" s="347">
        <v>2</v>
      </c>
      <c r="D309" s="348">
        <v>850</v>
      </c>
      <c r="E309" s="334">
        <f t="shared" si="116"/>
        <v>680</v>
      </c>
      <c r="F309" s="335">
        <v>1050</v>
      </c>
      <c r="G309" s="334">
        <f t="shared" si="118"/>
        <v>840</v>
      </c>
      <c r="H309" s="336">
        <f t="shared" si="120"/>
        <v>200</v>
      </c>
      <c r="I309" s="337">
        <f t="shared" si="120"/>
        <v>160</v>
      </c>
      <c r="J309" s="338"/>
      <c r="K309" s="339">
        <f t="shared" si="119"/>
        <v>2100</v>
      </c>
    </row>
    <row r="310" spans="1:11" ht="17.25" customHeight="1">
      <c r="A310" s="48"/>
      <c r="B310" s="346" t="s">
        <v>360</v>
      </c>
      <c r="C310" s="347">
        <v>2</v>
      </c>
      <c r="D310" s="348">
        <v>425</v>
      </c>
      <c r="E310" s="334">
        <f t="shared" si="116"/>
        <v>340</v>
      </c>
      <c r="F310" s="335">
        <v>1050</v>
      </c>
      <c r="G310" s="334">
        <f t="shared" si="118"/>
        <v>840</v>
      </c>
      <c r="H310" s="336">
        <f t="shared" si="120"/>
        <v>625</v>
      </c>
      <c r="I310" s="337">
        <f t="shared" si="120"/>
        <v>500</v>
      </c>
      <c r="J310" s="338"/>
      <c r="K310" s="339">
        <f t="shared" si="119"/>
        <v>2100</v>
      </c>
    </row>
    <row r="311" spans="1:11" ht="17.25" customHeight="1">
      <c r="A311" s="48"/>
      <c r="B311" s="315" t="s">
        <v>289</v>
      </c>
      <c r="C311" s="320">
        <v>1</v>
      </c>
      <c r="D311" s="372">
        <v>770</v>
      </c>
      <c r="E311" s="328">
        <f t="shared" si="116"/>
        <v>616</v>
      </c>
      <c r="F311" s="329">
        <f t="shared" si="117"/>
        <v>970</v>
      </c>
      <c r="G311" s="328">
        <f t="shared" si="118"/>
        <v>776</v>
      </c>
      <c r="H311" s="330">
        <f t="shared" si="120"/>
        <v>200</v>
      </c>
      <c r="I311" s="331">
        <f t="shared" si="120"/>
        <v>160</v>
      </c>
      <c r="J311" s="332">
        <f t="shared" si="121"/>
        <v>770</v>
      </c>
      <c r="K311" s="333">
        <f t="shared" si="119"/>
        <v>970</v>
      </c>
    </row>
    <row r="312" spans="1:11" ht="17.25" customHeight="1">
      <c r="A312" s="48"/>
      <c r="B312" s="315" t="s">
        <v>8</v>
      </c>
      <c r="C312" s="320">
        <v>1</v>
      </c>
      <c r="D312" s="372">
        <v>790</v>
      </c>
      <c r="E312" s="328">
        <f t="shared" si="116"/>
        <v>632</v>
      </c>
      <c r="F312" s="329">
        <f t="shared" si="117"/>
        <v>990</v>
      </c>
      <c r="G312" s="328">
        <f t="shared" si="118"/>
        <v>792</v>
      </c>
      <c r="H312" s="330">
        <f t="shared" si="120"/>
        <v>200</v>
      </c>
      <c r="I312" s="331">
        <f t="shared" si="120"/>
        <v>160</v>
      </c>
      <c r="J312" s="332">
        <f t="shared" si="121"/>
        <v>790</v>
      </c>
      <c r="K312" s="333">
        <f t="shared" si="119"/>
        <v>990</v>
      </c>
    </row>
    <row r="313" spans="1:11" ht="17.25" customHeight="1">
      <c r="A313" s="48"/>
      <c r="B313" s="315" t="s">
        <v>123</v>
      </c>
      <c r="C313" s="320">
        <v>1</v>
      </c>
      <c r="D313" s="372">
        <v>720</v>
      </c>
      <c r="E313" s="328">
        <f t="shared" si="116"/>
        <v>576</v>
      </c>
      <c r="F313" s="329">
        <f t="shared" si="117"/>
        <v>920</v>
      </c>
      <c r="G313" s="328">
        <f t="shared" si="118"/>
        <v>736</v>
      </c>
      <c r="H313" s="330">
        <f t="shared" si="120"/>
        <v>200</v>
      </c>
      <c r="I313" s="331">
        <f t="shared" si="120"/>
        <v>160</v>
      </c>
      <c r="J313" s="332">
        <f t="shared" si="121"/>
        <v>720</v>
      </c>
      <c r="K313" s="333">
        <f t="shared" si="119"/>
        <v>920</v>
      </c>
    </row>
    <row r="314" spans="1:11" ht="17.25" customHeight="1">
      <c r="A314" s="48"/>
      <c r="B314" s="315" t="s">
        <v>9</v>
      </c>
      <c r="C314" s="320">
        <v>1</v>
      </c>
      <c r="D314" s="372">
        <v>720</v>
      </c>
      <c r="E314" s="328">
        <f t="shared" si="116"/>
        <v>576</v>
      </c>
      <c r="F314" s="329">
        <f t="shared" si="117"/>
        <v>920</v>
      </c>
      <c r="G314" s="328">
        <f t="shared" si="118"/>
        <v>736</v>
      </c>
      <c r="H314" s="330">
        <f t="shared" si="120"/>
        <v>200</v>
      </c>
      <c r="I314" s="331">
        <f t="shared" si="120"/>
        <v>160</v>
      </c>
      <c r="J314" s="332">
        <f t="shared" si="121"/>
        <v>720</v>
      </c>
      <c r="K314" s="333">
        <f t="shared" si="119"/>
        <v>920</v>
      </c>
    </row>
    <row r="315" spans="1:11" ht="17.25" customHeight="1">
      <c r="A315" s="48"/>
      <c r="B315" s="315" t="s">
        <v>121</v>
      </c>
      <c r="C315" s="320">
        <v>2</v>
      </c>
      <c r="D315" s="372">
        <v>790</v>
      </c>
      <c r="E315" s="328">
        <f t="shared" si="116"/>
        <v>632</v>
      </c>
      <c r="F315" s="329">
        <f>D315+200</f>
        <v>990</v>
      </c>
      <c r="G315" s="328">
        <f t="shared" si="118"/>
        <v>792</v>
      </c>
      <c r="H315" s="330">
        <f t="shared" si="120"/>
        <v>200</v>
      </c>
      <c r="I315" s="331">
        <f t="shared" si="120"/>
        <v>160</v>
      </c>
      <c r="J315" s="332">
        <f t="shared" si="121"/>
        <v>1580</v>
      </c>
      <c r="K315" s="333">
        <f t="shared" si="119"/>
        <v>1980</v>
      </c>
    </row>
    <row r="316" spans="1:11" ht="26.25" customHeight="1">
      <c r="A316" s="48"/>
      <c r="B316" s="346" t="s">
        <v>122</v>
      </c>
      <c r="C316" s="322">
        <v>1</v>
      </c>
      <c r="D316" s="373">
        <v>690</v>
      </c>
      <c r="E316" s="334">
        <f t="shared" si="116"/>
        <v>552</v>
      </c>
      <c r="F316" s="335">
        <f>D316+200</f>
        <v>890</v>
      </c>
      <c r="G316" s="334">
        <f t="shared" si="118"/>
        <v>712</v>
      </c>
      <c r="H316" s="336">
        <f t="shared" si="120"/>
        <v>200</v>
      </c>
      <c r="I316" s="337">
        <f t="shared" si="120"/>
        <v>160</v>
      </c>
      <c r="J316" s="338">
        <f t="shared" si="121"/>
        <v>690</v>
      </c>
      <c r="K316" s="339">
        <f t="shared" si="119"/>
        <v>890</v>
      </c>
    </row>
    <row r="317" spans="1:11" ht="25.5" customHeight="1">
      <c r="A317" s="48"/>
      <c r="B317" s="346" t="s">
        <v>10</v>
      </c>
      <c r="C317" s="322">
        <v>1</v>
      </c>
      <c r="D317" s="373">
        <v>600</v>
      </c>
      <c r="E317" s="334">
        <f t="shared" si="116"/>
        <v>480</v>
      </c>
      <c r="F317" s="335">
        <f>D317+200</f>
        <v>800</v>
      </c>
      <c r="G317" s="334">
        <f t="shared" si="118"/>
        <v>640</v>
      </c>
      <c r="H317" s="336">
        <f t="shared" si="120"/>
        <v>200</v>
      </c>
      <c r="I317" s="337">
        <f t="shared" si="120"/>
        <v>160</v>
      </c>
      <c r="J317" s="338">
        <f t="shared" si="121"/>
        <v>600</v>
      </c>
      <c r="K317" s="339">
        <f t="shared" si="119"/>
        <v>800</v>
      </c>
    </row>
    <row r="318" spans="1:11" ht="15.75" thickBot="1">
      <c r="A318" s="48"/>
      <c r="B318" s="346" t="s">
        <v>11</v>
      </c>
      <c r="C318" s="322">
        <v>1</v>
      </c>
      <c r="D318" s="373">
        <v>580</v>
      </c>
      <c r="E318" s="334">
        <f t="shared" si="116"/>
        <v>464</v>
      </c>
      <c r="F318" s="335">
        <f>D318+200</f>
        <v>780</v>
      </c>
      <c r="G318" s="334">
        <f t="shared" si="118"/>
        <v>624</v>
      </c>
      <c r="H318" s="336">
        <f t="shared" si="120"/>
        <v>200</v>
      </c>
      <c r="I318" s="337">
        <f t="shared" si="120"/>
        <v>160</v>
      </c>
      <c r="J318" s="338">
        <f t="shared" si="121"/>
        <v>580</v>
      </c>
      <c r="K318" s="339">
        <f t="shared" si="119"/>
        <v>780</v>
      </c>
    </row>
    <row r="319" spans="1:11" ht="15.75" thickBot="1">
      <c r="A319" s="196">
        <v>21</v>
      </c>
      <c r="B319" s="72" t="s">
        <v>308</v>
      </c>
      <c r="C319" s="382">
        <f>SUM(C321:C333)-C323</f>
        <v>21</v>
      </c>
      <c r="D319" s="384">
        <v>105</v>
      </c>
      <c r="E319" s="386"/>
      <c r="F319" s="383">
        <v>105</v>
      </c>
      <c r="G319" s="242"/>
      <c r="H319" s="242"/>
      <c r="I319" s="242"/>
      <c r="J319" s="135">
        <f>SUM(J321:J333)</f>
        <v>14975</v>
      </c>
      <c r="K319" s="135">
        <f>SUM(K321:K333)</f>
        <v>20450</v>
      </c>
    </row>
    <row r="320" spans="1:11" ht="15.75" thickBot="1">
      <c r="A320" s="197"/>
      <c r="B320" s="73" t="s">
        <v>116</v>
      </c>
      <c r="C320" s="772">
        <v>105</v>
      </c>
      <c r="D320" s="773"/>
      <c r="E320" s="773"/>
      <c r="F320" s="773"/>
      <c r="G320" s="773"/>
      <c r="H320" s="773"/>
      <c r="I320" s="773"/>
      <c r="J320" s="773"/>
      <c r="K320" s="774"/>
    </row>
    <row r="321" spans="1:11" ht="16.5" customHeight="1">
      <c r="A321" s="48"/>
      <c r="B321" s="314" t="s">
        <v>7</v>
      </c>
      <c r="C321" s="319">
        <v>1</v>
      </c>
      <c r="D321" s="371">
        <v>990</v>
      </c>
      <c r="E321" s="324">
        <f t="shared" ref="E321:E333" si="122">D321-D321*0.2</f>
        <v>792</v>
      </c>
      <c r="F321" s="329">
        <f t="shared" ref="F321:F329" si="123">D321+200</f>
        <v>1190</v>
      </c>
      <c r="G321" s="328">
        <f t="shared" ref="G321:G333" si="124">F321-F321*0.2</f>
        <v>952</v>
      </c>
      <c r="H321" s="325">
        <f>F321-D321</f>
        <v>200</v>
      </c>
      <c r="I321" s="324">
        <f>G321-E321</f>
        <v>160</v>
      </c>
      <c r="J321" s="332">
        <f>D321*C321</f>
        <v>990</v>
      </c>
      <c r="K321" s="333">
        <f t="shared" ref="K321:K333" si="125">F321*C321</f>
        <v>1190</v>
      </c>
    </row>
    <row r="322" spans="1:11" ht="16.5" customHeight="1">
      <c r="A322" s="48"/>
      <c r="B322" s="315" t="s">
        <v>4</v>
      </c>
      <c r="C322" s="320">
        <v>1</v>
      </c>
      <c r="D322" s="372">
        <v>850</v>
      </c>
      <c r="E322" s="328">
        <f t="shared" si="122"/>
        <v>680</v>
      </c>
      <c r="F322" s="329">
        <f t="shared" si="123"/>
        <v>1050</v>
      </c>
      <c r="G322" s="328">
        <f t="shared" si="124"/>
        <v>840</v>
      </c>
      <c r="H322" s="330">
        <f t="shared" ref="H322:I333" si="126">F322-D322</f>
        <v>200</v>
      </c>
      <c r="I322" s="331">
        <f t="shared" si="126"/>
        <v>160</v>
      </c>
      <c r="J322" s="332">
        <f t="shared" ref="J322:J333" si="127">D322*C322</f>
        <v>850</v>
      </c>
      <c r="K322" s="333">
        <f t="shared" si="125"/>
        <v>1050</v>
      </c>
    </row>
    <row r="323" spans="1:11">
      <c r="A323" s="48"/>
      <c r="B323" s="315" t="s">
        <v>120</v>
      </c>
      <c r="C323" s="320">
        <f>3+1.5</f>
        <v>4.5</v>
      </c>
      <c r="D323" s="395">
        <v>850</v>
      </c>
      <c r="E323" s="394">
        <f t="shared" si="122"/>
        <v>680</v>
      </c>
      <c r="F323" s="329"/>
      <c r="G323" s="328">
        <f t="shared" si="124"/>
        <v>0</v>
      </c>
      <c r="H323" s="391">
        <f t="shared" si="126"/>
        <v>-850</v>
      </c>
      <c r="I323" s="392">
        <f t="shared" si="126"/>
        <v>-680</v>
      </c>
      <c r="J323" s="332">
        <f t="shared" si="127"/>
        <v>3825</v>
      </c>
      <c r="K323" s="333">
        <f t="shared" si="125"/>
        <v>0</v>
      </c>
    </row>
    <row r="324" spans="1:11" ht="25.5">
      <c r="A324" s="48"/>
      <c r="B324" s="346" t="s">
        <v>361</v>
      </c>
      <c r="C324" s="347">
        <v>3</v>
      </c>
      <c r="D324" s="348">
        <v>850</v>
      </c>
      <c r="E324" s="334">
        <f t="shared" si="122"/>
        <v>680</v>
      </c>
      <c r="F324" s="335">
        <v>1050</v>
      </c>
      <c r="G324" s="334">
        <f t="shared" si="124"/>
        <v>840</v>
      </c>
      <c r="H324" s="336">
        <f t="shared" si="126"/>
        <v>200</v>
      </c>
      <c r="I324" s="337">
        <f t="shared" si="126"/>
        <v>160</v>
      </c>
      <c r="J324" s="338"/>
      <c r="K324" s="339">
        <f t="shared" si="125"/>
        <v>3150</v>
      </c>
    </row>
    <row r="325" spans="1:11">
      <c r="A325" s="48"/>
      <c r="B325" s="346" t="s">
        <v>360</v>
      </c>
      <c r="C325" s="347">
        <v>3</v>
      </c>
      <c r="D325" s="348">
        <v>425</v>
      </c>
      <c r="E325" s="334">
        <f t="shared" si="122"/>
        <v>340</v>
      </c>
      <c r="F325" s="335">
        <v>1050</v>
      </c>
      <c r="G325" s="334">
        <f t="shared" si="124"/>
        <v>840</v>
      </c>
      <c r="H325" s="336">
        <f t="shared" si="126"/>
        <v>625</v>
      </c>
      <c r="I325" s="337">
        <f t="shared" si="126"/>
        <v>500</v>
      </c>
      <c r="J325" s="338"/>
      <c r="K325" s="339">
        <f t="shared" si="125"/>
        <v>3150</v>
      </c>
    </row>
    <row r="326" spans="1:11">
      <c r="A326" s="48"/>
      <c r="B326" s="315" t="s">
        <v>289</v>
      </c>
      <c r="C326" s="320">
        <v>2</v>
      </c>
      <c r="D326" s="372">
        <v>770</v>
      </c>
      <c r="E326" s="328">
        <f t="shared" si="122"/>
        <v>616</v>
      </c>
      <c r="F326" s="329">
        <f t="shared" si="123"/>
        <v>970</v>
      </c>
      <c r="G326" s="328">
        <f t="shared" si="124"/>
        <v>776</v>
      </c>
      <c r="H326" s="330">
        <f t="shared" si="126"/>
        <v>200</v>
      </c>
      <c r="I326" s="331">
        <f t="shared" si="126"/>
        <v>160</v>
      </c>
      <c r="J326" s="332">
        <f t="shared" si="127"/>
        <v>1540</v>
      </c>
      <c r="K326" s="333">
        <f t="shared" si="125"/>
        <v>1940</v>
      </c>
    </row>
    <row r="327" spans="1:11">
      <c r="A327" s="48"/>
      <c r="B327" s="315" t="s">
        <v>8</v>
      </c>
      <c r="C327" s="320">
        <v>1</v>
      </c>
      <c r="D327" s="372">
        <v>790</v>
      </c>
      <c r="E327" s="328">
        <f t="shared" si="122"/>
        <v>632</v>
      </c>
      <c r="F327" s="329">
        <f t="shared" si="123"/>
        <v>990</v>
      </c>
      <c r="G327" s="328">
        <f t="shared" si="124"/>
        <v>792</v>
      </c>
      <c r="H327" s="330">
        <f t="shared" si="126"/>
        <v>200</v>
      </c>
      <c r="I327" s="331">
        <f t="shared" si="126"/>
        <v>160</v>
      </c>
      <c r="J327" s="332">
        <f t="shared" si="127"/>
        <v>790</v>
      </c>
      <c r="K327" s="333">
        <f t="shared" si="125"/>
        <v>990</v>
      </c>
    </row>
    <row r="328" spans="1:11">
      <c r="A328" s="48"/>
      <c r="B328" s="315" t="s">
        <v>123</v>
      </c>
      <c r="C328" s="320">
        <v>1</v>
      </c>
      <c r="D328" s="372">
        <v>720</v>
      </c>
      <c r="E328" s="328">
        <f t="shared" si="122"/>
        <v>576</v>
      </c>
      <c r="F328" s="329">
        <f t="shared" si="123"/>
        <v>920</v>
      </c>
      <c r="G328" s="328">
        <f t="shared" si="124"/>
        <v>736</v>
      </c>
      <c r="H328" s="330">
        <f t="shared" si="126"/>
        <v>200</v>
      </c>
      <c r="I328" s="331">
        <f t="shared" si="126"/>
        <v>160</v>
      </c>
      <c r="J328" s="332">
        <f t="shared" si="127"/>
        <v>720</v>
      </c>
      <c r="K328" s="333">
        <f t="shared" si="125"/>
        <v>920</v>
      </c>
    </row>
    <row r="329" spans="1:11">
      <c r="A329" s="48"/>
      <c r="B329" s="315" t="s">
        <v>9</v>
      </c>
      <c r="C329" s="320">
        <f>1+1</f>
        <v>2</v>
      </c>
      <c r="D329" s="372">
        <v>720</v>
      </c>
      <c r="E329" s="328">
        <f t="shared" si="122"/>
        <v>576</v>
      </c>
      <c r="F329" s="329">
        <f t="shared" si="123"/>
        <v>920</v>
      </c>
      <c r="G329" s="328">
        <f t="shared" si="124"/>
        <v>736</v>
      </c>
      <c r="H329" s="330">
        <f t="shared" si="126"/>
        <v>200</v>
      </c>
      <c r="I329" s="331">
        <f t="shared" si="126"/>
        <v>160</v>
      </c>
      <c r="J329" s="332">
        <f t="shared" si="127"/>
        <v>1440</v>
      </c>
      <c r="K329" s="333">
        <f t="shared" si="125"/>
        <v>1840</v>
      </c>
    </row>
    <row r="330" spans="1:11" ht="19.5" customHeight="1">
      <c r="A330" s="48"/>
      <c r="B330" s="315" t="s">
        <v>121</v>
      </c>
      <c r="C330" s="320">
        <f>2+1</f>
        <v>3</v>
      </c>
      <c r="D330" s="372">
        <v>790</v>
      </c>
      <c r="E330" s="328">
        <f t="shared" si="122"/>
        <v>632</v>
      </c>
      <c r="F330" s="329">
        <f>D330+200</f>
        <v>990</v>
      </c>
      <c r="G330" s="328">
        <f t="shared" si="124"/>
        <v>792</v>
      </c>
      <c r="H330" s="330">
        <f t="shared" si="126"/>
        <v>200</v>
      </c>
      <c r="I330" s="331">
        <f t="shared" si="126"/>
        <v>160</v>
      </c>
      <c r="J330" s="332">
        <f t="shared" si="127"/>
        <v>2370</v>
      </c>
      <c r="K330" s="333">
        <f t="shared" si="125"/>
        <v>2970</v>
      </c>
    </row>
    <row r="331" spans="1:11" ht="24.75" customHeight="1">
      <c r="A331" s="48"/>
      <c r="B331" s="346" t="s">
        <v>122</v>
      </c>
      <c r="C331" s="322">
        <v>1</v>
      </c>
      <c r="D331" s="373">
        <v>690</v>
      </c>
      <c r="E331" s="334">
        <f t="shared" si="122"/>
        <v>552</v>
      </c>
      <c r="F331" s="335">
        <f>D331+200</f>
        <v>890</v>
      </c>
      <c r="G331" s="334">
        <f t="shared" si="124"/>
        <v>712</v>
      </c>
      <c r="H331" s="336">
        <f t="shared" si="126"/>
        <v>200</v>
      </c>
      <c r="I331" s="337">
        <f t="shared" si="126"/>
        <v>160</v>
      </c>
      <c r="J331" s="338">
        <f t="shared" si="127"/>
        <v>690</v>
      </c>
      <c r="K331" s="339">
        <f t="shared" si="125"/>
        <v>890</v>
      </c>
    </row>
    <row r="332" spans="1:11" ht="21" customHeight="1">
      <c r="A332" s="48"/>
      <c r="B332" s="346" t="s">
        <v>10</v>
      </c>
      <c r="C332" s="322">
        <v>1</v>
      </c>
      <c r="D332" s="373">
        <v>600</v>
      </c>
      <c r="E332" s="334">
        <f t="shared" si="122"/>
        <v>480</v>
      </c>
      <c r="F332" s="335">
        <f>D332+200</f>
        <v>800</v>
      </c>
      <c r="G332" s="334">
        <f t="shared" si="124"/>
        <v>640</v>
      </c>
      <c r="H332" s="336">
        <f t="shared" si="126"/>
        <v>200</v>
      </c>
      <c r="I332" s="337">
        <f t="shared" si="126"/>
        <v>160</v>
      </c>
      <c r="J332" s="338">
        <f t="shared" si="127"/>
        <v>600</v>
      </c>
      <c r="K332" s="339">
        <f t="shared" si="125"/>
        <v>800</v>
      </c>
    </row>
    <row r="333" spans="1:11" ht="19.5" customHeight="1" thickBot="1">
      <c r="A333" s="48"/>
      <c r="B333" s="346" t="s">
        <v>11</v>
      </c>
      <c r="C333" s="322">
        <f>1+1</f>
        <v>2</v>
      </c>
      <c r="D333" s="373">
        <v>580</v>
      </c>
      <c r="E333" s="334">
        <f t="shared" si="122"/>
        <v>464</v>
      </c>
      <c r="F333" s="335">
        <f>D333+200</f>
        <v>780</v>
      </c>
      <c r="G333" s="334">
        <f t="shared" si="124"/>
        <v>624</v>
      </c>
      <c r="H333" s="336">
        <f t="shared" si="126"/>
        <v>200</v>
      </c>
      <c r="I333" s="337">
        <f t="shared" si="126"/>
        <v>160</v>
      </c>
      <c r="J333" s="338">
        <f t="shared" si="127"/>
        <v>1160</v>
      </c>
      <c r="K333" s="339">
        <f t="shared" si="125"/>
        <v>1560</v>
      </c>
    </row>
    <row r="334" spans="1:11" ht="18.75" customHeight="1" thickBot="1">
      <c r="A334" s="196">
        <v>22</v>
      </c>
      <c r="B334" s="72" t="s">
        <v>309</v>
      </c>
      <c r="C334" s="382">
        <f>SUM(C336:C347)-C338</f>
        <v>14</v>
      </c>
      <c r="D334" s="384">
        <v>40</v>
      </c>
      <c r="E334" s="386"/>
      <c r="F334" s="383">
        <v>40</v>
      </c>
      <c r="G334" s="242"/>
      <c r="H334" s="242"/>
      <c r="I334" s="242"/>
      <c r="J334" s="135">
        <f>SUM(J336:J347)</f>
        <v>10070</v>
      </c>
      <c r="K334" s="135">
        <f>SUM(K336:K347)</f>
        <v>13720</v>
      </c>
    </row>
    <row r="335" spans="1:11" ht="21" customHeight="1" thickBot="1">
      <c r="A335" s="197"/>
      <c r="B335" s="73" t="s">
        <v>116</v>
      </c>
      <c r="C335" s="772">
        <v>40</v>
      </c>
      <c r="D335" s="773"/>
      <c r="E335" s="773"/>
      <c r="F335" s="773"/>
      <c r="G335" s="773"/>
      <c r="H335" s="773"/>
      <c r="I335" s="773"/>
      <c r="J335" s="773"/>
      <c r="K335" s="774"/>
    </row>
    <row r="336" spans="1:11" ht="17.25" customHeight="1">
      <c r="A336" s="48"/>
      <c r="B336" s="314" t="s">
        <v>7</v>
      </c>
      <c r="C336" s="319">
        <v>1</v>
      </c>
      <c r="D336" s="371">
        <v>990</v>
      </c>
      <c r="E336" s="324">
        <f t="shared" ref="E336:E347" si="128">D336-D336*0.2</f>
        <v>792</v>
      </c>
      <c r="F336" s="329">
        <f t="shared" ref="F336:F343" si="129">D336+200</f>
        <v>1190</v>
      </c>
      <c r="G336" s="328">
        <f t="shared" ref="G336:G362" si="130">F336-F336*0.2</f>
        <v>952</v>
      </c>
      <c r="H336" s="325">
        <f>F336-D336</f>
        <v>200</v>
      </c>
      <c r="I336" s="324">
        <f>G336-E336</f>
        <v>160</v>
      </c>
      <c r="J336" s="332">
        <f>D336*C336</f>
        <v>990</v>
      </c>
      <c r="K336" s="333">
        <f t="shared" ref="K336:K344" si="131">F336*C336</f>
        <v>1190</v>
      </c>
    </row>
    <row r="337" spans="1:11" ht="17.25" customHeight="1">
      <c r="A337" s="48"/>
      <c r="B337" s="315" t="s">
        <v>4</v>
      </c>
      <c r="C337" s="320">
        <v>1</v>
      </c>
      <c r="D337" s="372">
        <v>850</v>
      </c>
      <c r="E337" s="328">
        <f t="shared" si="128"/>
        <v>680</v>
      </c>
      <c r="F337" s="329">
        <f t="shared" si="129"/>
        <v>1050</v>
      </c>
      <c r="G337" s="328">
        <f t="shared" si="130"/>
        <v>840</v>
      </c>
      <c r="H337" s="330">
        <f t="shared" ref="H337:I347" si="132">F337-D337</f>
        <v>200</v>
      </c>
      <c r="I337" s="331">
        <f t="shared" si="132"/>
        <v>160</v>
      </c>
      <c r="J337" s="332">
        <f t="shared" ref="J337:J344" si="133">D337*C337</f>
        <v>850</v>
      </c>
      <c r="K337" s="333">
        <f t="shared" si="131"/>
        <v>1050</v>
      </c>
    </row>
    <row r="338" spans="1:11" ht="18.75" customHeight="1">
      <c r="A338" s="48"/>
      <c r="B338" s="315" t="s">
        <v>120</v>
      </c>
      <c r="C338" s="320">
        <f>3</f>
        <v>3</v>
      </c>
      <c r="D338" s="395">
        <v>850</v>
      </c>
      <c r="E338" s="394">
        <f t="shared" si="128"/>
        <v>680</v>
      </c>
      <c r="F338" s="329"/>
      <c r="G338" s="328">
        <f t="shared" si="130"/>
        <v>0</v>
      </c>
      <c r="H338" s="391">
        <f t="shared" si="132"/>
        <v>-850</v>
      </c>
      <c r="I338" s="392">
        <f t="shared" si="132"/>
        <v>-680</v>
      </c>
      <c r="J338" s="332">
        <f t="shared" si="133"/>
        <v>2550</v>
      </c>
      <c r="K338" s="333">
        <f t="shared" si="131"/>
        <v>0</v>
      </c>
    </row>
    <row r="339" spans="1:11" ht="17.25" customHeight="1">
      <c r="A339" s="48"/>
      <c r="B339" s="346" t="s">
        <v>361</v>
      </c>
      <c r="C339" s="347">
        <v>2</v>
      </c>
      <c r="D339" s="348">
        <v>850</v>
      </c>
      <c r="E339" s="334">
        <f t="shared" si="128"/>
        <v>680</v>
      </c>
      <c r="F339" s="335">
        <v>1050</v>
      </c>
      <c r="G339" s="334">
        <f t="shared" si="130"/>
        <v>840</v>
      </c>
      <c r="H339" s="336">
        <f t="shared" si="132"/>
        <v>200</v>
      </c>
      <c r="I339" s="337">
        <f t="shared" si="132"/>
        <v>160</v>
      </c>
      <c r="J339" s="338"/>
      <c r="K339" s="339">
        <f t="shared" si="131"/>
        <v>2100</v>
      </c>
    </row>
    <row r="340" spans="1:11" ht="18.75" customHeight="1">
      <c r="A340" s="48"/>
      <c r="B340" s="346" t="s">
        <v>360</v>
      </c>
      <c r="C340" s="347">
        <v>2</v>
      </c>
      <c r="D340" s="348">
        <v>425</v>
      </c>
      <c r="E340" s="334">
        <f t="shared" si="128"/>
        <v>340</v>
      </c>
      <c r="F340" s="335">
        <v>1050</v>
      </c>
      <c r="G340" s="334">
        <f t="shared" si="130"/>
        <v>840</v>
      </c>
      <c r="H340" s="336">
        <f t="shared" si="132"/>
        <v>625</v>
      </c>
      <c r="I340" s="337">
        <f t="shared" si="132"/>
        <v>500</v>
      </c>
      <c r="J340" s="338"/>
      <c r="K340" s="339">
        <f t="shared" si="131"/>
        <v>2100</v>
      </c>
    </row>
    <row r="341" spans="1:11" ht="19.5" customHeight="1">
      <c r="A341" s="48"/>
      <c r="B341" s="315" t="s">
        <v>8</v>
      </c>
      <c r="C341" s="320">
        <v>1</v>
      </c>
      <c r="D341" s="372">
        <v>790</v>
      </c>
      <c r="E341" s="328">
        <f t="shared" si="128"/>
        <v>632</v>
      </c>
      <c r="F341" s="329">
        <f t="shared" si="129"/>
        <v>990</v>
      </c>
      <c r="G341" s="328">
        <f t="shared" si="130"/>
        <v>792</v>
      </c>
      <c r="H341" s="330">
        <f t="shared" si="132"/>
        <v>200</v>
      </c>
      <c r="I341" s="331">
        <f t="shared" si="132"/>
        <v>160</v>
      </c>
      <c r="J341" s="332">
        <f t="shared" si="133"/>
        <v>790</v>
      </c>
      <c r="K341" s="333">
        <f t="shared" si="131"/>
        <v>990</v>
      </c>
    </row>
    <row r="342" spans="1:11">
      <c r="A342" s="48"/>
      <c r="B342" s="315" t="s">
        <v>123</v>
      </c>
      <c r="C342" s="320">
        <v>1</v>
      </c>
      <c r="D342" s="372">
        <v>720</v>
      </c>
      <c r="E342" s="328">
        <f t="shared" si="128"/>
        <v>576</v>
      </c>
      <c r="F342" s="329">
        <f t="shared" si="129"/>
        <v>920</v>
      </c>
      <c r="G342" s="328">
        <f t="shared" si="130"/>
        <v>736</v>
      </c>
      <c r="H342" s="330">
        <f t="shared" si="132"/>
        <v>200</v>
      </c>
      <c r="I342" s="331">
        <f t="shared" si="132"/>
        <v>160</v>
      </c>
      <c r="J342" s="332">
        <f t="shared" si="133"/>
        <v>720</v>
      </c>
      <c r="K342" s="333">
        <f t="shared" si="131"/>
        <v>920</v>
      </c>
    </row>
    <row r="343" spans="1:11">
      <c r="A343" s="48"/>
      <c r="B343" s="315" t="s">
        <v>9</v>
      </c>
      <c r="C343" s="320">
        <f>1</f>
        <v>1</v>
      </c>
      <c r="D343" s="372">
        <v>720</v>
      </c>
      <c r="E343" s="328">
        <f t="shared" si="128"/>
        <v>576</v>
      </c>
      <c r="F343" s="329">
        <f t="shared" si="129"/>
        <v>920</v>
      </c>
      <c r="G343" s="328">
        <f t="shared" si="130"/>
        <v>736</v>
      </c>
      <c r="H343" s="330">
        <f t="shared" si="132"/>
        <v>200</v>
      </c>
      <c r="I343" s="331">
        <f t="shared" si="132"/>
        <v>160</v>
      </c>
      <c r="J343" s="332">
        <f t="shared" si="133"/>
        <v>720</v>
      </c>
      <c r="K343" s="333">
        <f t="shared" si="131"/>
        <v>920</v>
      </c>
    </row>
    <row r="344" spans="1:11">
      <c r="A344" s="48"/>
      <c r="B344" s="315" t="s">
        <v>121</v>
      </c>
      <c r="C344" s="320">
        <f>2</f>
        <v>2</v>
      </c>
      <c r="D344" s="372">
        <v>790</v>
      </c>
      <c r="E344" s="328">
        <f t="shared" si="128"/>
        <v>632</v>
      </c>
      <c r="F344" s="329">
        <f>D344+200</f>
        <v>990</v>
      </c>
      <c r="G344" s="328">
        <f t="shared" si="130"/>
        <v>792</v>
      </c>
      <c r="H344" s="330">
        <f t="shared" si="132"/>
        <v>200</v>
      </c>
      <c r="I344" s="331">
        <f t="shared" si="132"/>
        <v>160</v>
      </c>
      <c r="J344" s="332">
        <f t="shared" si="133"/>
        <v>1580</v>
      </c>
      <c r="K344" s="333">
        <f t="shared" si="131"/>
        <v>1980</v>
      </c>
    </row>
    <row r="345" spans="1:11" ht="29.25" customHeight="1">
      <c r="A345" s="48"/>
      <c r="B345" s="346" t="s">
        <v>122</v>
      </c>
      <c r="C345" s="322">
        <v>1</v>
      </c>
      <c r="D345" s="373">
        <v>690</v>
      </c>
      <c r="E345" s="334">
        <f t="shared" si="128"/>
        <v>552</v>
      </c>
      <c r="F345" s="335">
        <f>D345+200</f>
        <v>890</v>
      </c>
      <c r="G345" s="334">
        <f t="shared" si="130"/>
        <v>712</v>
      </c>
      <c r="H345" s="336">
        <f t="shared" si="132"/>
        <v>200</v>
      </c>
      <c r="I345" s="337">
        <f t="shared" si="132"/>
        <v>160</v>
      </c>
      <c r="J345" s="338">
        <f>D345*C345</f>
        <v>690</v>
      </c>
      <c r="K345" s="339">
        <f>F345*C345</f>
        <v>890</v>
      </c>
    </row>
    <row r="346" spans="1:11" ht="25.5" customHeight="1">
      <c r="A346" s="48"/>
      <c r="B346" s="346" t="s">
        <v>10</v>
      </c>
      <c r="C346" s="322">
        <v>1</v>
      </c>
      <c r="D346" s="373">
        <v>600</v>
      </c>
      <c r="E346" s="334">
        <f t="shared" si="128"/>
        <v>480</v>
      </c>
      <c r="F346" s="335">
        <f>D346+200</f>
        <v>800</v>
      </c>
      <c r="G346" s="334">
        <f t="shared" si="130"/>
        <v>640</v>
      </c>
      <c r="H346" s="336">
        <f t="shared" si="132"/>
        <v>200</v>
      </c>
      <c r="I346" s="337">
        <f t="shared" si="132"/>
        <v>160</v>
      </c>
      <c r="J346" s="338">
        <f>D346*C346</f>
        <v>600</v>
      </c>
      <c r="K346" s="339">
        <f>F346*C346</f>
        <v>800</v>
      </c>
    </row>
    <row r="347" spans="1:11" ht="16.5" customHeight="1" thickBot="1">
      <c r="A347" s="48"/>
      <c r="B347" s="346" t="s">
        <v>11</v>
      </c>
      <c r="C347" s="322">
        <v>1</v>
      </c>
      <c r="D347" s="373">
        <v>580</v>
      </c>
      <c r="E347" s="334">
        <f t="shared" si="128"/>
        <v>464</v>
      </c>
      <c r="F347" s="335">
        <f>D347+200</f>
        <v>780</v>
      </c>
      <c r="G347" s="334">
        <f t="shared" si="130"/>
        <v>624</v>
      </c>
      <c r="H347" s="336">
        <f t="shared" si="132"/>
        <v>200</v>
      </c>
      <c r="I347" s="337">
        <f t="shared" si="132"/>
        <v>160</v>
      </c>
      <c r="J347" s="338">
        <f>D347*C347</f>
        <v>580</v>
      </c>
      <c r="K347" s="339">
        <f>F347*C347</f>
        <v>780</v>
      </c>
    </row>
    <row r="348" spans="1:11" ht="16.5" customHeight="1" thickBot="1">
      <c r="A348" s="196">
        <v>23</v>
      </c>
      <c r="B348" s="74" t="s">
        <v>310</v>
      </c>
      <c r="C348" s="382">
        <f>SUM(C350:C362)-C352</f>
        <v>21</v>
      </c>
      <c r="D348" s="384">
        <v>105</v>
      </c>
      <c r="E348" s="385"/>
      <c r="F348" s="383">
        <v>105</v>
      </c>
      <c r="G348" s="242"/>
      <c r="H348" s="242"/>
      <c r="I348" s="242"/>
      <c r="J348" s="135">
        <f>SUM(J350:J362)</f>
        <v>15165</v>
      </c>
      <c r="K348" s="135">
        <f>SUM(K350:K362)</f>
        <v>20640</v>
      </c>
    </row>
    <row r="349" spans="1:11" ht="16.5" customHeight="1" thickBot="1">
      <c r="A349" s="197"/>
      <c r="B349" s="74" t="s">
        <v>113</v>
      </c>
      <c r="C349" s="772">
        <v>105</v>
      </c>
      <c r="D349" s="773"/>
      <c r="E349" s="773"/>
      <c r="F349" s="773"/>
      <c r="G349" s="773"/>
      <c r="H349" s="773"/>
      <c r="I349" s="773"/>
      <c r="J349" s="773"/>
      <c r="K349" s="774"/>
    </row>
    <row r="350" spans="1:11" ht="16.5" customHeight="1">
      <c r="A350" s="48"/>
      <c r="B350" s="69" t="s">
        <v>7</v>
      </c>
      <c r="C350" s="319">
        <v>1</v>
      </c>
      <c r="D350" s="371">
        <v>990</v>
      </c>
      <c r="E350" s="324">
        <f t="shared" ref="E350:E362" si="134">D350-D350*0.2</f>
        <v>792</v>
      </c>
      <c r="F350" s="329">
        <f t="shared" ref="F350:F358" si="135">D350+200</f>
        <v>1190</v>
      </c>
      <c r="G350" s="328">
        <f t="shared" si="130"/>
        <v>952</v>
      </c>
      <c r="H350" s="325">
        <f>F350-D350</f>
        <v>200</v>
      </c>
      <c r="I350" s="324">
        <f>G350-E350</f>
        <v>160</v>
      </c>
      <c r="J350" s="332">
        <f>D350*C350</f>
        <v>990</v>
      </c>
      <c r="K350" s="333">
        <f t="shared" ref="K350:K360" si="136">F350*C350</f>
        <v>1190</v>
      </c>
    </row>
    <row r="351" spans="1:11" ht="16.5" customHeight="1">
      <c r="A351" s="48"/>
      <c r="B351" s="70" t="s">
        <v>4</v>
      </c>
      <c r="C351" s="320">
        <v>1</v>
      </c>
      <c r="D351" s="372">
        <v>850</v>
      </c>
      <c r="E351" s="328">
        <f t="shared" si="134"/>
        <v>680</v>
      </c>
      <c r="F351" s="329">
        <f t="shared" si="135"/>
        <v>1050</v>
      </c>
      <c r="G351" s="328">
        <f t="shared" si="130"/>
        <v>840</v>
      </c>
      <c r="H351" s="330">
        <f t="shared" ref="H351:I362" si="137">F351-D351</f>
        <v>200</v>
      </c>
      <c r="I351" s="331">
        <f t="shared" si="137"/>
        <v>160</v>
      </c>
      <c r="J351" s="332">
        <f t="shared" ref="J351:J360" si="138">D351*C351</f>
        <v>850</v>
      </c>
      <c r="K351" s="333">
        <f t="shared" si="136"/>
        <v>1050</v>
      </c>
    </row>
    <row r="352" spans="1:11" ht="16.5" customHeight="1">
      <c r="A352" s="48"/>
      <c r="B352" s="70" t="s">
        <v>120</v>
      </c>
      <c r="C352" s="320">
        <v>4.5</v>
      </c>
      <c r="D352" s="395">
        <v>850</v>
      </c>
      <c r="E352" s="394">
        <f t="shared" si="134"/>
        <v>680</v>
      </c>
      <c r="F352" s="329"/>
      <c r="G352" s="328">
        <f t="shared" si="130"/>
        <v>0</v>
      </c>
      <c r="H352" s="391">
        <f t="shared" si="137"/>
        <v>-850</v>
      </c>
      <c r="I352" s="392">
        <f t="shared" si="137"/>
        <v>-680</v>
      </c>
      <c r="J352" s="332">
        <f t="shared" si="138"/>
        <v>3825</v>
      </c>
      <c r="K352" s="333">
        <f t="shared" si="136"/>
        <v>0</v>
      </c>
    </row>
    <row r="353" spans="1:11" ht="16.5" customHeight="1">
      <c r="A353" s="48"/>
      <c r="B353" s="346" t="s">
        <v>361</v>
      </c>
      <c r="C353" s="347">
        <v>3</v>
      </c>
      <c r="D353" s="348">
        <v>850</v>
      </c>
      <c r="E353" s="334">
        <f t="shared" si="134"/>
        <v>680</v>
      </c>
      <c r="F353" s="335">
        <v>1050</v>
      </c>
      <c r="G353" s="334">
        <f t="shared" si="130"/>
        <v>840</v>
      </c>
      <c r="H353" s="336">
        <f t="shared" si="137"/>
        <v>200</v>
      </c>
      <c r="I353" s="337">
        <f t="shared" si="137"/>
        <v>160</v>
      </c>
      <c r="J353" s="338"/>
      <c r="K353" s="339">
        <f t="shared" si="136"/>
        <v>3150</v>
      </c>
    </row>
    <row r="354" spans="1:11" ht="16.5" customHeight="1">
      <c r="A354" s="48"/>
      <c r="B354" s="346" t="s">
        <v>360</v>
      </c>
      <c r="C354" s="347">
        <v>3</v>
      </c>
      <c r="D354" s="348">
        <v>425</v>
      </c>
      <c r="E354" s="334">
        <f t="shared" si="134"/>
        <v>340</v>
      </c>
      <c r="F354" s="335">
        <v>1050</v>
      </c>
      <c r="G354" s="334">
        <f t="shared" si="130"/>
        <v>840</v>
      </c>
      <c r="H354" s="336">
        <f t="shared" si="137"/>
        <v>625</v>
      </c>
      <c r="I354" s="337">
        <f t="shared" si="137"/>
        <v>500</v>
      </c>
      <c r="J354" s="338"/>
      <c r="K354" s="339">
        <f t="shared" si="136"/>
        <v>3150</v>
      </c>
    </row>
    <row r="355" spans="1:11" ht="16.5" customHeight="1">
      <c r="A355" s="48"/>
      <c r="B355" s="71" t="s">
        <v>289</v>
      </c>
      <c r="C355" s="320">
        <v>3</v>
      </c>
      <c r="D355" s="372">
        <v>770</v>
      </c>
      <c r="E355" s="328">
        <f t="shared" si="134"/>
        <v>616</v>
      </c>
      <c r="F355" s="329">
        <f t="shared" si="135"/>
        <v>970</v>
      </c>
      <c r="G355" s="328">
        <f t="shared" si="130"/>
        <v>776</v>
      </c>
      <c r="H355" s="330">
        <f t="shared" si="137"/>
        <v>200</v>
      </c>
      <c r="I355" s="331">
        <f t="shared" si="137"/>
        <v>160</v>
      </c>
      <c r="J355" s="332">
        <f t="shared" si="138"/>
        <v>2310</v>
      </c>
      <c r="K355" s="333">
        <f t="shared" si="136"/>
        <v>2910</v>
      </c>
    </row>
    <row r="356" spans="1:11" ht="16.5" customHeight="1">
      <c r="A356" s="48"/>
      <c r="B356" s="70" t="s">
        <v>8</v>
      </c>
      <c r="C356" s="320">
        <v>1</v>
      </c>
      <c r="D356" s="372">
        <v>790</v>
      </c>
      <c r="E356" s="328">
        <f t="shared" si="134"/>
        <v>632</v>
      </c>
      <c r="F356" s="329">
        <f t="shared" si="135"/>
        <v>990</v>
      </c>
      <c r="G356" s="328">
        <f t="shared" si="130"/>
        <v>792</v>
      </c>
      <c r="H356" s="330">
        <f t="shared" si="137"/>
        <v>200</v>
      </c>
      <c r="I356" s="331">
        <f t="shared" si="137"/>
        <v>160</v>
      </c>
      <c r="J356" s="332">
        <f t="shared" si="138"/>
        <v>790</v>
      </c>
      <c r="K356" s="333">
        <f t="shared" si="136"/>
        <v>990</v>
      </c>
    </row>
    <row r="357" spans="1:11" ht="16.5" customHeight="1">
      <c r="A357" s="48"/>
      <c r="B357" s="70" t="s">
        <v>123</v>
      </c>
      <c r="C357" s="320">
        <v>1</v>
      </c>
      <c r="D357" s="372">
        <v>720</v>
      </c>
      <c r="E357" s="328">
        <f t="shared" si="134"/>
        <v>576</v>
      </c>
      <c r="F357" s="329">
        <f t="shared" si="135"/>
        <v>920</v>
      </c>
      <c r="G357" s="328">
        <f t="shared" si="130"/>
        <v>736</v>
      </c>
      <c r="H357" s="330">
        <f t="shared" si="137"/>
        <v>200</v>
      </c>
      <c r="I357" s="331">
        <f t="shared" si="137"/>
        <v>160</v>
      </c>
      <c r="J357" s="332">
        <f t="shared" si="138"/>
        <v>720</v>
      </c>
      <c r="K357" s="333">
        <f t="shared" si="136"/>
        <v>920</v>
      </c>
    </row>
    <row r="358" spans="1:11" ht="16.5" customHeight="1">
      <c r="A358" s="48"/>
      <c r="B358" s="70" t="s">
        <v>9</v>
      </c>
      <c r="C358" s="320">
        <v>2</v>
      </c>
      <c r="D358" s="372">
        <v>720</v>
      </c>
      <c r="E358" s="328">
        <f t="shared" si="134"/>
        <v>576</v>
      </c>
      <c r="F358" s="329">
        <f t="shared" si="135"/>
        <v>920</v>
      </c>
      <c r="G358" s="328">
        <f t="shared" si="130"/>
        <v>736</v>
      </c>
      <c r="H358" s="330">
        <f t="shared" si="137"/>
        <v>200</v>
      </c>
      <c r="I358" s="331">
        <f t="shared" si="137"/>
        <v>160</v>
      </c>
      <c r="J358" s="332">
        <f t="shared" si="138"/>
        <v>1440</v>
      </c>
      <c r="K358" s="333">
        <f t="shared" si="136"/>
        <v>1840</v>
      </c>
    </row>
    <row r="359" spans="1:11" ht="16.5" customHeight="1">
      <c r="A359" s="48"/>
      <c r="B359" s="70" t="s">
        <v>121</v>
      </c>
      <c r="C359" s="322">
        <v>3</v>
      </c>
      <c r="D359" s="372">
        <v>790</v>
      </c>
      <c r="E359" s="328">
        <f t="shared" si="134"/>
        <v>632</v>
      </c>
      <c r="F359" s="329">
        <f>D359+200</f>
        <v>990</v>
      </c>
      <c r="G359" s="328">
        <f t="shared" si="130"/>
        <v>792</v>
      </c>
      <c r="H359" s="330">
        <f t="shared" si="137"/>
        <v>200</v>
      </c>
      <c r="I359" s="331">
        <f t="shared" si="137"/>
        <v>160</v>
      </c>
      <c r="J359" s="332">
        <f>D359*C359</f>
        <v>2370</v>
      </c>
      <c r="K359" s="333">
        <f>F359*C359</f>
        <v>2970</v>
      </c>
    </row>
    <row r="360" spans="1:11" ht="24" customHeight="1">
      <c r="A360" s="48"/>
      <c r="B360" s="88" t="s">
        <v>122</v>
      </c>
      <c r="C360" s="322">
        <v>1</v>
      </c>
      <c r="D360" s="373">
        <v>690</v>
      </c>
      <c r="E360" s="334">
        <f t="shared" si="134"/>
        <v>552</v>
      </c>
      <c r="F360" s="335">
        <f>D360+200</f>
        <v>890</v>
      </c>
      <c r="G360" s="334">
        <f t="shared" si="130"/>
        <v>712</v>
      </c>
      <c r="H360" s="336">
        <f t="shared" si="137"/>
        <v>200</v>
      </c>
      <c r="I360" s="337">
        <f t="shared" si="137"/>
        <v>160</v>
      </c>
      <c r="J360" s="338">
        <f t="shared" si="138"/>
        <v>690</v>
      </c>
      <c r="K360" s="339">
        <f t="shared" si="136"/>
        <v>890</v>
      </c>
    </row>
    <row r="361" spans="1:11" ht="15.75" thickBot="1">
      <c r="A361" s="48"/>
      <c r="B361" s="88" t="s">
        <v>10</v>
      </c>
      <c r="C361" s="322">
        <v>1</v>
      </c>
      <c r="D361" s="373">
        <v>600</v>
      </c>
      <c r="E361" s="334">
        <f t="shared" si="134"/>
        <v>480</v>
      </c>
      <c r="F361" s="335">
        <f>D361+200</f>
        <v>800</v>
      </c>
      <c r="G361" s="334">
        <f t="shared" si="130"/>
        <v>640</v>
      </c>
      <c r="H361" s="336">
        <f t="shared" si="137"/>
        <v>200</v>
      </c>
      <c r="I361" s="337">
        <f t="shared" si="137"/>
        <v>160</v>
      </c>
      <c r="J361" s="338">
        <f>D361*C361</f>
        <v>600</v>
      </c>
      <c r="K361" s="339">
        <f>F361*C361</f>
        <v>800</v>
      </c>
    </row>
    <row r="362" spans="1:11" ht="15.75" thickBot="1">
      <c r="A362" s="48"/>
      <c r="B362" s="89" t="s">
        <v>11</v>
      </c>
      <c r="C362" s="319">
        <v>1</v>
      </c>
      <c r="D362" s="374">
        <v>580</v>
      </c>
      <c r="E362" s="340">
        <f t="shared" si="134"/>
        <v>464</v>
      </c>
      <c r="F362" s="335">
        <f>D362+200</f>
        <v>780</v>
      </c>
      <c r="G362" s="334">
        <f t="shared" si="130"/>
        <v>624</v>
      </c>
      <c r="H362" s="336">
        <f t="shared" si="137"/>
        <v>200</v>
      </c>
      <c r="I362" s="337">
        <f t="shared" si="137"/>
        <v>160</v>
      </c>
      <c r="J362" s="338">
        <f>D362*C362</f>
        <v>580</v>
      </c>
      <c r="K362" s="339">
        <f>F362*C362</f>
        <v>780</v>
      </c>
    </row>
    <row r="363" spans="1:11" ht="15.75" thickBot="1">
      <c r="A363" s="196">
        <v>24</v>
      </c>
      <c r="B363" s="77" t="s">
        <v>311</v>
      </c>
      <c r="C363" s="64">
        <f>SUM(C365:C377)-C367</f>
        <v>21</v>
      </c>
      <c r="D363" s="65">
        <v>105</v>
      </c>
      <c r="E363" s="65"/>
      <c r="F363" s="208">
        <v>105</v>
      </c>
      <c r="G363" s="242"/>
      <c r="H363" s="242"/>
      <c r="I363" s="242"/>
      <c r="J363" s="135">
        <f>SUM(J365:J377)</f>
        <v>14925</v>
      </c>
      <c r="K363" s="135">
        <f>SUM(K365:K377)</f>
        <v>20400</v>
      </c>
    </row>
    <row r="364" spans="1:11" ht="15.75" thickBot="1">
      <c r="A364" s="197"/>
      <c r="B364" s="74" t="s">
        <v>113</v>
      </c>
      <c r="C364" s="772">
        <v>105</v>
      </c>
      <c r="D364" s="773"/>
      <c r="E364" s="773"/>
      <c r="F364" s="773"/>
      <c r="G364" s="773"/>
      <c r="H364" s="773"/>
      <c r="I364" s="773"/>
      <c r="J364" s="773"/>
      <c r="K364" s="774"/>
    </row>
    <row r="365" spans="1:11" ht="16.5" customHeight="1">
      <c r="A365" s="48"/>
      <c r="B365" s="69" t="s">
        <v>7</v>
      </c>
      <c r="C365" s="376">
        <v>1</v>
      </c>
      <c r="D365" s="371">
        <v>990</v>
      </c>
      <c r="E365" s="324">
        <f t="shared" ref="E365:E377" si="139">D365-D365*0.2</f>
        <v>792</v>
      </c>
      <c r="F365" s="329">
        <f t="shared" ref="F365:F373" si="140">D365+200</f>
        <v>1190</v>
      </c>
      <c r="G365" s="328">
        <f t="shared" ref="G365:G377" si="141">F365-F365*0.2</f>
        <v>952</v>
      </c>
      <c r="H365" s="325">
        <f>F365-D365</f>
        <v>200</v>
      </c>
      <c r="I365" s="324">
        <f>G365-E365</f>
        <v>160</v>
      </c>
      <c r="J365" s="332">
        <f>D365*C365</f>
        <v>990</v>
      </c>
      <c r="K365" s="333">
        <f t="shared" ref="K365:K377" si="142">F365*C365</f>
        <v>1190</v>
      </c>
    </row>
    <row r="366" spans="1:11" ht="16.5" customHeight="1">
      <c r="A366" s="48"/>
      <c r="B366" s="70" t="s">
        <v>4</v>
      </c>
      <c r="C366" s="376">
        <v>1</v>
      </c>
      <c r="D366" s="372">
        <v>850</v>
      </c>
      <c r="E366" s="328">
        <f t="shared" si="139"/>
        <v>680</v>
      </c>
      <c r="F366" s="329">
        <f t="shared" si="140"/>
        <v>1050</v>
      </c>
      <c r="G366" s="328">
        <f t="shared" si="141"/>
        <v>840</v>
      </c>
      <c r="H366" s="330">
        <f t="shared" ref="H366:I377" si="143">F366-D366</f>
        <v>200</v>
      </c>
      <c r="I366" s="331">
        <f t="shared" si="143"/>
        <v>160</v>
      </c>
      <c r="J366" s="332">
        <f t="shared" ref="J366:J377" si="144">D366*C366</f>
        <v>850</v>
      </c>
      <c r="K366" s="333">
        <f t="shared" si="142"/>
        <v>1050</v>
      </c>
    </row>
    <row r="367" spans="1:11">
      <c r="A367" s="48"/>
      <c r="B367" s="70" t="s">
        <v>120</v>
      </c>
      <c r="C367" s="376">
        <f>3+1.5</f>
        <v>4.5</v>
      </c>
      <c r="D367" s="395">
        <v>850</v>
      </c>
      <c r="E367" s="394">
        <f t="shared" si="139"/>
        <v>680</v>
      </c>
      <c r="F367" s="329"/>
      <c r="G367" s="328">
        <f t="shared" si="141"/>
        <v>0</v>
      </c>
      <c r="H367" s="391">
        <f t="shared" si="143"/>
        <v>-850</v>
      </c>
      <c r="I367" s="392">
        <f t="shared" si="143"/>
        <v>-680</v>
      </c>
      <c r="J367" s="332">
        <f t="shared" si="144"/>
        <v>3825</v>
      </c>
      <c r="K367" s="333">
        <f t="shared" si="142"/>
        <v>0</v>
      </c>
    </row>
    <row r="368" spans="1:11" ht="25.5">
      <c r="A368" s="48"/>
      <c r="B368" s="346" t="s">
        <v>361</v>
      </c>
      <c r="C368" s="347">
        <v>3</v>
      </c>
      <c r="D368" s="348">
        <v>850</v>
      </c>
      <c r="E368" s="334">
        <f t="shared" si="139"/>
        <v>680</v>
      </c>
      <c r="F368" s="335">
        <v>1050</v>
      </c>
      <c r="G368" s="334">
        <f t="shared" si="141"/>
        <v>840</v>
      </c>
      <c r="H368" s="336">
        <f t="shared" si="143"/>
        <v>200</v>
      </c>
      <c r="I368" s="337">
        <f t="shared" si="143"/>
        <v>160</v>
      </c>
      <c r="J368" s="338"/>
      <c r="K368" s="339">
        <f t="shared" si="142"/>
        <v>3150</v>
      </c>
    </row>
    <row r="369" spans="1:11" ht="16.5" customHeight="1">
      <c r="A369" s="48"/>
      <c r="B369" s="346" t="s">
        <v>360</v>
      </c>
      <c r="C369" s="347">
        <v>3</v>
      </c>
      <c r="D369" s="348">
        <v>425</v>
      </c>
      <c r="E369" s="334">
        <f t="shared" si="139"/>
        <v>340</v>
      </c>
      <c r="F369" s="335">
        <v>1050</v>
      </c>
      <c r="G369" s="334">
        <f t="shared" si="141"/>
        <v>840</v>
      </c>
      <c r="H369" s="336">
        <f t="shared" si="143"/>
        <v>625</v>
      </c>
      <c r="I369" s="337">
        <f t="shared" si="143"/>
        <v>500</v>
      </c>
      <c r="J369" s="338"/>
      <c r="K369" s="339">
        <f t="shared" si="142"/>
        <v>3150</v>
      </c>
    </row>
    <row r="370" spans="1:11">
      <c r="A370" s="48"/>
      <c r="B370" s="71" t="s">
        <v>289</v>
      </c>
      <c r="C370" s="376">
        <v>1</v>
      </c>
      <c r="D370" s="372">
        <v>770</v>
      </c>
      <c r="E370" s="328">
        <f t="shared" si="139"/>
        <v>616</v>
      </c>
      <c r="F370" s="329">
        <f t="shared" si="140"/>
        <v>970</v>
      </c>
      <c r="G370" s="328">
        <f t="shared" si="141"/>
        <v>776</v>
      </c>
      <c r="H370" s="330">
        <f t="shared" si="143"/>
        <v>200</v>
      </c>
      <c r="I370" s="331">
        <f t="shared" si="143"/>
        <v>160</v>
      </c>
      <c r="J370" s="332">
        <f t="shared" si="144"/>
        <v>770</v>
      </c>
      <c r="K370" s="333">
        <f t="shared" si="142"/>
        <v>970</v>
      </c>
    </row>
    <row r="371" spans="1:11">
      <c r="A371" s="48"/>
      <c r="B371" s="70" t="s">
        <v>8</v>
      </c>
      <c r="C371" s="376">
        <v>1</v>
      </c>
      <c r="D371" s="372">
        <v>790</v>
      </c>
      <c r="E371" s="328">
        <f t="shared" si="139"/>
        <v>632</v>
      </c>
      <c r="F371" s="329">
        <f t="shared" si="140"/>
        <v>990</v>
      </c>
      <c r="G371" s="328">
        <f t="shared" si="141"/>
        <v>792</v>
      </c>
      <c r="H371" s="330">
        <f t="shared" si="143"/>
        <v>200</v>
      </c>
      <c r="I371" s="331">
        <f t="shared" si="143"/>
        <v>160</v>
      </c>
      <c r="J371" s="332">
        <f t="shared" si="144"/>
        <v>790</v>
      </c>
      <c r="K371" s="333">
        <f t="shared" si="142"/>
        <v>990</v>
      </c>
    </row>
    <row r="372" spans="1:11">
      <c r="A372" s="48"/>
      <c r="B372" s="70" t="s">
        <v>123</v>
      </c>
      <c r="C372" s="376">
        <v>1</v>
      </c>
      <c r="D372" s="372">
        <v>720</v>
      </c>
      <c r="E372" s="328">
        <f t="shared" si="139"/>
        <v>576</v>
      </c>
      <c r="F372" s="329">
        <f t="shared" si="140"/>
        <v>920</v>
      </c>
      <c r="G372" s="328">
        <f t="shared" si="141"/>
        <v>736</v>
      </c>
      <c r="H372" s="330">
        <f t="shared" si="143"/>
        <v>200</v>
      </c>
      <c r="I372" s="331">
        <f t="shared" si="143"/>
        <v>160</v>
      </c>
      <c r="J372" s="332">
        <f t="shared" si="144"/>
        <v>720</v>
      </c>
      <c r="K372" s="333">
        <f t="shared" si="142"/>
        <v>920</v>
      </c>
    </row>
    <row r="373" spans="1:11">
      <c r="A373" s="48"/>
      <c r="B373" s="70" t="s">
        <v>9</v>
      </c>
      <c r="C373" s="376">
        <f>2+1</f>
        <v>3</v>
      </c>
      <c r="D373" s="372">
        <v>720</v>
      </c>
      <c r="E373" s="328">
        <f t="shared" si="139"/>
        <v>576</v>
      </c>
      <c r="F373" s="329">
        <f t="shared" si="140"/>
        <v>920</v>
      </c>
      <c r="G373" s="328">
        <f t="shared" si="141"/>
        <v>736</v>
      </c>
      <c r="H373" s="330">
        <f t="shared" si="143"/>
        <v>200</v>
      </c>
      <c r="I373" s="331">
        <f t="shared" si="143"/>
        <v>160</v>
      </c>
      <c r="J373" s="332">
        <f t="shared" si="144"/>
        <v>2160</v>
      </c>
      <c r="K373" s="333">
        <f t="shared" si="142"/>
        <v>2760</v>
      </c>
    </row>
    <row r="374" spans="1:11">
      <c r="A374" s="48"/>
      <c r="B374" s="70" t="s">
        <v>121</v>
      </c>
      <c r="C374" s="376">
        <f>2+1</f>
        <v>3</v>
      </c>
      <c r="D374" s="372">
        <v>790</v>
      </c>
      <c r="E374" s="328">
        <f t="shared" si="139"/>
        <v>632</v>
      </c>
      <c r="F374" s="329">
        <f>D374+200</f>
        <v>990</v>
      </c>
      <c r="G374" s="328">
        <f t="shared" si="141"/>
        <v>792</v>
      </c>
      <c r="H374" s="330">
        <f t="shared" si="143"/>
        <v>200</v>
      </c>
      <c r="I374" s="331">
        <f t="shared" si="143"/>
        <v>160</v>
      </c>
      <c r="J374" s="332">
        <f t="shared" si="144"/>
        <v>2370</v>
      </c>
      <c r="K374" s="333">
        <f t="shared" si="142"/>
        <v>2970</v>
      </c>
    </row>
    <row r="375" spans="1:11">
      <c r="A375" s="48"/>
      <c r="B375" s="88" t="s">
        <v>122</v>
      </c>
      <c r="C375" s="379">
        <v>1</v>
      </c>
      <c r="D375" s="373">
        <v>690</v>
      </c>
      <c r="E375" s="334">
        <f t="shared" si="139"/>
        <v>552</v>
      </c>
      <c r="F375" s="335">
        <f>D375+200</f>
        <v>890</v>
      </c>
      <c r="G375" s="334">
        <f t="shared" si="141"/>
        <v>712</v>
      </c>
      <c r="H375" s="336">
        <f t="shared" si="143"/>
        <v>200</v>
      </c>
      <c r="I375" s="337">
        <f t="shared" si="143"/>
        <v>160</v>
      </c>
      <c r="J375" s="338">
        <f t="shared" si="144"/>
        <v>690</v>
      </c>
      <c r="K375" s="339">
        <f t="shared" si="142"/>
        <v>890</v>
      </c>
    </row>
    <row r="376" spans="1:11">
      <c r="A376" s="48"/>
      <c r="B376" s="88" t="s">
        <v>10</v>
      </c>
      <c r="C376" s="379">
        <v>1</v>
      </c>
      <c r="D376" s="373">
        <v>600</v>
      </c>
      <c r="E376" s="334">
        <f t="shared" si="139"/>
        <v>480</v>
      </c>
      <c r="F376" s="335">
        <f>D376+200</f>
        <v>800</v>
      </c>
      <c r="G376" s="334">
        <f t="shared" si="141"/>
        <v>640</v>
      </c>
      <c r="H376" s="336">
        <f t="shared" si="143"/>
        <v>200</v>
      </c>
      <c r="I376" s="337">
        <f t="shared" si="143"/>
        <v>160</v>
      </c>
      <c r="J376" s="338">
        <f t="shared" si="144"/>
        <v>600</v>
      </c>
      <c r="K376" s="339">
        <f t="shared" si="142"/>
        <v>800</v>
      </c>
    </row>
    <row r="377" spans="1:11" s="56" customFormat="1" ht="18.75" customHeight="1" thickBot="1">
      <c r="A377" s="51"/>
      <c r="B377" s="91" t="s">
        <v>11</v>
      </c>
      <c r="C377" s="381">
        <v>2</v>
      </c>
      <c r="D377" s="374">
        <v>580</v>
      </c>
      <c r="E377" s="340">
        <f t="shared" si="139"/>
        <v>464</v>
      </c>
      <c r="F377" s="335">
        <f>D377+200</f>
        <v>780</v>
      </c>
      <c r="G377" s="334">
        <f t="shared" si="141"/>
        <v>624</v>
      </c>
      <c r="H377" s="336">
        <f t="shared" si="143"/>
        <v>200</v>
      </c>
      <c r="I377" s="337">
        <f t="shared" si="143"/>
        <v>160</v>
      </c>
      <c r="J377" s="338">
        <f t="shared" si="144"/>
        <v>1160</v>
      </c>
      <c r="K377" s="339">
        <f t="shared" si="142"/>
        <v>1560</v>
      </c>
    </row>
    <row r="378" spans="1:11" ht="24.75" customHeight="1" thickBot="1">
      <c r="A378" s="196">
        <v>25</v>
      </c>
      <c r="B378" s="74" t="s">
        <v>312</v>
      </c>
      <c r="C378" s="64">
        <f>SUM(C380:C391)-C382</f>
        <v>14</v>
      </c>
      <c r="D378" s="65">
        <v>70</v>
      </c>
      <c r="E378" s="65"/>
      <c r="F378" s="208">
        <v>70</v>
      </c>
      <c r="G378" s="242"/>
      <c r="H378" s="242"/>
      <c r="I378" s="242"/>
      <c r="J378" s="135">
        <f>SUM(J380:J391)</f>
        <v>10070</v>
      </c>
      <c r="K378" s="135">
        <f>SUM(K380:K391)</f>
        <v>13720</v>
      </c>
    </row>
    <row r="379" spans="1:11" ht="22.5" customHeight="1" thickBot="1">
      <c r="A379" s="197"/>
      <c r="B379" s="74" t="s">
        <v>113</v>
      </c>
      <c r="C379" s="772">
        <v>70</v>
      </c>
      <c r="D379" s="773"/>
      <c r="E379" s="773"/>
      <c r="F379" s="773"/>
      <c r="G379" s="773"/>
      <c r="H379" s="773"/>
      <c r="I379" s="773"/>
      <c r="J379" s="773"/>
      <c r="K379" s="774"/>
    </row>
    <row r="380" spans="1:11">
      <c r="A380" s="48"/>
      <c r="B380" s="69" t="s">
        <v>7</v>
      </c>
      <c r="C380" s="378">
        <v>1</v>
      </c>
      <c r="D380" s="371">
        <v>990</v>
      </c>
      <c r="E380" s="324">
        <f t="shared" ref="E380:E406" si="145">D380-D380*0.2</f>
        <v>792</v>
      </c>
      <c r="F380" s="329">
        <f t="shared" ref="F380:F387" si="146">D380+200</f>
        <v>1190</v>
      </c>
      <c r="G380" s="328">
        <f t="shared" ref="G380:G406" si="147">F380-F380*0.2</f>
        <v>952</v>
      </c>
      <c r="H380" s="325">
        <f>F380-D380</f>
        <v>200</v>
      </c>
      <c r="I380" s="324">
        <f>G380-E380</f>
        <v>160</v>
      </c>
      <c r="J380" s="332">
        <f>D380*C380</f>
        <v>990</v>
      </c>
      <c r="K380" s="333">
        <f t="shared" ref="K380:K391" si="148">F380*C380</f>
        <v>1190</v>
      </c>
    </row>
    <row r="381" spans="1:11">
      <c r="A381" s="48"/>
      <c r="B381" s="70" t="s">
        <v>4</v>
      </c>
      <c r="C381" s="376">
        <v>1</v>
      </c>
      <c r="D381" s="372">
        <v>850</v>
      </c>
      <c r="E381" s="328">
        <f t="shared" si="145"/>
        <v>680</v>
      </c>
      <c r="F381" s="329">
        <f t="shared" si="146"/>
        <v>1050</v>
      </c>
      <c r="G381" s="328">
        <f t="shared" si="147"/>
        <v>840</v>
      </c>
      <c r="H381" s="330">
        <f t="shared" ref="H381:I391" si="149">F381-D381</f>
        <v>200</v>
      </c>
      <c r="I381" s="331">
        <f t="shared" si="149"/>
        <v>160</v>
      </c>
      <c r="J381" s="332">
        <f t="shared" ref="J381:J391" si="150">D381*C381</f>
        <v>850</v>
      </c>
      <c r="K381" s="333">
        <f t="shared" si="148"/>
        <v>1050</v>
      </c>
    </row>
    <row r="382" spans="1:11">
      <c r="A382" s="48"/>
      <c r="B382" s="70" t="s">
        <v>120</v>
      </c>
      <c r="C382" s="376">
        <v>3</v>
      </c>
      <c r="D382" s="395">
        <v>850</v>
      </c>
      <c r="E382" s="394">
        <f t="shared" si="145"/>
        <v>680</v>
      </c>
      <c r="F382" s="329"/>
      <c r="G382" s="328">
        <f t="shared" si="147"/>
        <v>0</v>
      </c>
      <c r="H382" s="391">
        <f t="shared" si="149"/>
        <v>-850</v>
      </c>
      <c r="I382" s="392">
        <f t="shared" si="149"/>
        <v>-680</v>
      </c>
      <c r="J382" s="332">
        <f t="shared" si="150"/>
        <v>2550</v>
      </c>
      <c r="K382" s="333">
        <f t="shared" si="148"/>
        <v>0</v>
      </c>
    </row>
    <row r="383" spans="1:11" ht="16.5" customHeight="1">
      <c r="A383" s="48"/>
      <c r="B383" s="346" t="s">
        <v>361</v>
      </c>
      <c r="C383" s="347">
        <v>2</v>
      </c>
      <c r="D383" s="348">
        <v>850</v>
      </c>
      <c r="E383" s="334">
        <f t="shared" si="145"/>
        <v>680</v>
      </c>
      <c r="F383" s="335">
        <v>1050</v>
      </c>
      <c r="G383" s="334">
        <f t="shared" si="147"/>
        <v>840</v>
      </c>
      <c r="H383" s="336">
        <f t="shared" si="149"/>
        <v>200</v>
      </c>
      <c r="I383" s="337">
        <f t="shared" si="149"/>
        <v>160</v>
      </c>
      <c r="J383" s="338"/>
      <c r="K383" s="339">
        <f t="shared" si="148"/>
        <v>2100</v>
      </c>
    </row>
    <row r="384" spans="1:11" ht="16.5" customHeight="1">
      <c r="A384" s="48"/>
      <c r="B384" s="346" t="s">
        <v>360</v>
      </c>
      <c r="C384" s="347">
        <v>2</v>
      </c>
      <c r="D384" s="348">
        <v>425</v>
      </c>
      <c r="E384" s="334">
        <f t="shared" si="145"/>
        <v>340</v>
      </c>
      <c r="F384" s="335">
        <v>1050</v>
      </c>
      <c r="G384" s="334">
        <f t="shared" si="147"/>
        <v>840</v>
      </c>
      <c r="H384" s="336">
        <f t="shared" si="149"/>
        <v>625</v>
      </c>
      <c r="I384" s="337">
        <f t="shared" si="149"/>
        <v>500</v>
      </c>
      <c r="J384" s="338"/>
      <c r="K384" s="339">
        <f t="shared" si="148"/>
        <v>2100</v>
      </c>
    </row>
    <row r="385" spans="1:11">
      <c r="A385" s="48"/>
      <c r="B385" s="70" t="s">
        <v>8</v>
      </c>
      <c r="C385" s="376">
        <v>1</v>
      </c>
      <c r="D385" s="372">
        <v>790</v>
      </c>
      <c r="E385" s="328">
        <f t="shared" si="145"/>
        <v>632</v>
      </c>
      <c r="F385" s="329">
        <f t="shared" si="146"/>
        <v>990</v>
      </c>
      <c r="G385" s="328">
        <f t="shared" si="147"/>
        <v>792</v>
      </c>
      <c r="H385" s="330">
        <f t="shared" si="149"/>
        <v>200</v>
      </c>
      <c r="I385" s="331">
        <f t="shared" si="149"/>
        <v>160</v>
      </c>
      <c r="J385" s="332">
        <f t="shared" si="150"/>
        <v>790</v>
      </c>
      <c r="K385" s="333">
        <f t="shared" si="148"/>
        <v>990</v>
      </c>
    </row>
    <row r="386" spans="1:11">
      <c r="A386" s="48"/>
      <c r="B386" s="70" t="s">
        <v>123</v>
      </c>
      <c r="C386" s="376">
        <v>1</v>
      </c>
      <c r="D386" s="372">
        <v>720</v>
      </c>
      <c r="E386" s="328">
        <f t="shared" si="145"/>
        <v>576</v>
      </c>
      <c r="F386" s="329">
        <f t="shared" si="146"/>
        <v>920</v>
      </c>
      <c r="G386" s="328">
        <f t="shared" si="147"/>
        <v>736</v>
      </c>
      <c r="H386" s="330">
        <f t="shared" si="149"/>
        <v>200</v>
      </c>
      <c r="I386" s="331">
        <f t="shared" si="149"/>
        <v>160</v>
      </c>
      <c r="J386" s="332">
        <f t="shared" si="150"/>
        <v>720</v>
      </c>
      <c r="K386" s="333">
        <f t="shared" si="148"/>
        <v>920</v>
      </c>
    </row>
    <row r="387" spans="1:11">
      <c r="A387" s="48"/>
      <c r="B387" s="70" t="s">
        <v>9</v>
      </c>
      <c r="C387" s="376">
        <v>1</v>
      </c>
      <c r="D387" s="372">
        <v>720</v>
      </c>
      <c r="E387" s="328">
        <f t="shared" si="145"/>
        <v>576</v>
      </c>
      <c r="F387" s="329">
        <f t="shared" si="146"/>
        <v>920</v>
      </c>
      <c r="G387" s="328">
        <f t="shared" si="147"/>
        <v>736</v>
      </c>
      <c r="H387" s="330">
        <f t="shared" si="149"/>
        <v>200</v>
      </c>
      <c r="I387" s="331">
        <f t="shared" si="149"/>
        <v>160</v>
      </c>
      <c r="J387" s="332">
        <f t="shared" si="150"/>
        <v>720</v>
      </c>
      <c r="K387" s="333">
        <f t="shared" si="148"/>
        <v>920</v>
      </c>
    </row>
    <row r="388" spans="1:11">
      <c r="A388" s="48"/>
      <c r="B388" s="70" t="s">
        <v>121</v>
      </c>
      <c r="C388" s="376">
        <v>2</v>
      </c>
      <c r="D388" s="372">
        <v>790</v>
      </c>
      <c r="E388" s="328">
        <f t="shared" si="145"/>
        <v>632</v>
      </c>
      <c r="F388" s="329">
        <f>D388+200</f>
        <v>990</v>
      </c>
      <c r="G388" s="328">
        <f t="shared" si="147"/>
        <v>792</v>
      </c>
      <c r="H388" s="330">
        <f t="shared" si="149"/>
        <v>200</v>
      </c>
      <c r="I388" s="331">
        <f t="shared" si="149"/>
        <v>160</v>
      </c>
      <c r="J388" s="332">
        <f t="shared" si="150"/>
        <v>1580</v>
      </c>
      <c r="K388" s="333">
        <f t="shared" si="148"/>
        <v>1980</v>
      </c>
    </row>
    <row r="389" spans="1:11" ht="21" customHeight="1">
      <c r="A389" s="48"/>
      <c r="B389" s="88" t="s">
        <v>122</v>
      </c>
      <c r="C389" s="379">
        <v>1</v>
      </c>
      <c r="D389" s="373">
        <v>690</v>
      </c>
      <c r="E389" s="334">
        <f t="shared" si="145"/>
        <v>552</v>
      </c>
      <c r="F389" s="335">
        <f>D389+200</f>
        <v>890</v>
      </c>
      <c r="G389" s="334">
        <f t="shared" si="147"/>
        <v>712</v>
      </c>
      <c r="H389" s="336">
        <f t="shared" si="149"/>
        <v>200</v>
      </c>
      <c r="I389" s="337">
        <f t="shared" si="149"/>
        <v>160</v>
      </c>
      <c r="J389" s="338">
        <f t="shared" si="150"/>
        <v>690</v>
      </c>
      <c r="K389" s="339">
        <f t="shared" si="148"/>
        <v>890</v>
      </c>
    </row>
    <row r="390" spans="1:11" ht="23.25" customHeight="1">
      <c r="A390" s="48"/>
      <c r="B390" s="88" t="s">
        <v>10</v>
      </c>
      <c r="C390" s="379">
        <v>1</v>
      </c>
      <c r="D390" s="373">
        <v>600</v>
      </c>
      <c r="E390" s="334">
        <f t="shared" si="145"/>
        <v>480</v>
      </c>
      <c r="F390" s="335">
        <f>D390+200</f>
        <v>800</v>
      </c>
      <c r="G390" s="334">
        <f t="shared" si="147"/>
        <v>640</v>
      </c>
      <c r="H390" s="336">
        <f t="shared" si="149"/>
        <v>200</v>
      </c>
      <c r="I390" s="337">
        <f t="shared" si="149"/>
        <v>160</v>
      </c>
      <c r="J390" s="338">
        <f t="shared" si="150"/>
        <v>600</v>
      </c>
      <c r="K390" s="339">
        <f t="shared" si="148"/>
        <v>800</v>
      </c>
    </row>
    <row r="391" spans="1:11" ht="15.75" thickBot="1">
      <c r="A391" s="48"/>
      <c r="B391" s="89" t="s">
        <v>11</v>
      </c>
      <c r="C391" s="380">
        <v>1</v>
      </c>
      <c r="D391" s="374">
        <v>580</v>
      </c>
      <c r="E391" s="340">
        <f t="shared" si="145"/>
        <v>464</v>
      </c>
      <c r="F391" s="335">
        <f>D391+200</f>
        <v>780</v>
      </c>
      <c r="G391" s="334">
        <f t="shared" si="147"/>
        <v>624</v>
      </c>
      <c r="H391" s="336">
        <f t="shared" si="149"/>
        <v>200</v>
      </c>
      <c r="I391" s="337">
        <f t="shared" si="149"/>
        <v>160</v>
      </c>
      <c r="J391" s="338">
        <f t="shared" si="150"/>
        <v>580</v>
      </c>
      <c r="K391" s="339">
        <f t="shared" si="148"/>
        <v>780</v>
      </c>
    </row>
    <row r="392" spans="1:11" ht="15.75" thickBot="1">
      <c r="A392" s="196">
        <v>26</v>
      </c>
      <c r="B392" s="74" t="s">
        <v>313</v>
      </c>
      <c r="C392" s="64">
        <f>SUM(C394:C406)-C396</f>
        <v>19</v>
      </c>
      <c r="D392" s="65">
        <v>105</v>
      </c>
      <c r="E392" s="242"/>
      <c r="F392" s="208">
        <v>105</v>
      </c>
      <c r="G392" s="242"/>
      <c r="H392" s="242"/>
      <c r="I392" s="242"/>
      <c r="J392" s="135">
        <f>SUM(J394:J406)</f>
        <v>13625</v>
      </c>
      <c r="K392" s="135">
        <f>SUM(K394:K406)</f>
        <v>18700</v>
      </c>
    </row>
    <row r="393" spans="1:11" ht="15.75" thickBot="1">
      <c r="A393" s="197"/>
      <c r="B393" s="74" t="s">
        <v>113</v>
      </c>
      <c r="C393" s="772">
        <v>105</v>
      </c>
      <c r="D393" s="773"/>
      <c r="E393" s="773"/>
      <c r="F393" s="773"/>
      <c r="G393" s="773"/>
      <c r="H393" s="773"/>
      <c r="I393" s="773"/>
      <c r="J393" s="773"/>
      <c r="K393" s="774"/>
    </row>
    <row r="394" spans="1:11" ht="16.5" customHeight="1">
      <c r="A394" s="51"/>
      <c r="B394" s="75" t="s">
        <v>7</v>
      </c>
      <c r="C394" s="367">
        <v>1</v>
      </c>
      <c r="D394" s="371">
        <v>990</v>
      </c>
      <c r="E394" s="324">
        <f t="shared" si="145"/>
        <v>792</v>
      </c>
      <c r="F394" s="329">
        <f t="shared" ref="F394:F402" si="151">D394+200</f>
        <v>1190</v>
      </c>
      <c r="G394" s="328">
        <f t="shared" si="147"/>
        <v>952</v>
      </c>
      <c r="H394" s="325">
        <f>F394-D394</f>
        <v>200</v>
      </c>
      <c r="I394" s="324">
        <f>G394-E394</f>
        <v>160</v>
      </c>
      <c r="J394" s="332">
        <f>D394*C394</f>
        <v>990</v>
      </c>
      <c r="K394" s="333">
        <f t="shared" ref="K394:K404" si="152">F394*C394</f>
        <v>1190</v>
      </c>
    </row>
    <row r="395" spans="1:11" ht="16.5" customHeight="1">
      <c r="A395" s="51"/>
      <c r="B395" s="76" t="s">
        <v>4</v>
      </c>
      <c r="C395" s="368">
        <v>1</v>
      </c>
      <c r="D395" s="372">
        <v>850</v>
      </c>
      <c r="E395" s="328">
        <f t="shared" si="145"/>
        <v>680</v>
      </c>
      <c r="F395" s="329">
        <f t="shared" si="151"/>
        <v>1050</v>
      </c>
      <c r="G395" s="328">
        <f t="shared" si="147"/>
        <v>840</v>
      </c>
      <c r="H395" s="330">
        <f t="shared" ref="H395:I406" si="153">F395-D395</f>
        <v>200</v>
      </c>
      <c r="I395" s="331">
        <f t="shared" si="153"/>
        <v>160</v>
      </c>
      <c r="J395" s="332">
        <f t="shared" ref="J395:J404" si="154">D395*C395</f>
        <v>850</v>
      </c>
      <c r="K395" s="333">
        <f t="shared" si="152"/>
        <v>1050</v>
      </c>
    </row>
    <row r="396" spans="1:11">
      <c r="A396" s="51"/>
      <c r="B396" s="76" t="s">
        <v>120</v>
      </c>
      <c r="C396" s="368">
        <v>4.5</v>
      </c>
      <c r="D396" s="395">
        <v>850</v>
      </c>
      <c r="E396" s="394">
        <f t="shared" si="145"/>
        <v>680</v>
      </c>
      <c r="F396" s="329"/>
      <c r="G396" s="328">
        <f t="shared" si="147"/>
        <v>0</v>
      </c>
      <c r="H396" s="391">
        <f t="shared" si="153"/>
        <v>-850</v>
      </c>
      <c r="I396" s="392">
        <f t="shared" si="153"/>
        <v>-680</v>
      </c>
      <c r="J396" s="332">
        <f t="shared" si="154"/>
        <v>3825</v>
      </c>
      <c r="K396" s="333">
        <f t="shared" si="152"/>
        <v>0</v>
      </c>
    </row>
    <row r="397" spans="1:11" ht="25.5">
      <c r="A397" s="48"/>
      <c r="B397" s="346" t="s">
        <v>361</v>
      </c>
      <c r="C397" s="347">
        <v>3</v>
      </c>
      <c r="D397" s="348">
        <v>850</v>
      </c>
      <c r="E397" s="334">
        <f t="shared" si="145"/>
        <v>680</v>
      </c>
      <c r="F397" s="335">
        <v>1050</v>
      </c>
      <c r="G397" s="334">
        <f t="shared" si="147"/>
        <v>840</v>
      </c>
      <c r="H397" s="336">
        <f t="shared" si="153"/>
        <v>200</v>
      </c>
      <c r="I397" s="337">
        <f t="shared" si="153"/>
        <v>160</v>
      </c>
      <c r="J397" s="338"/>
      <c r="K397" s="339">
        <f t="shared" si="152"/>
        <v>3150</v>
      </c>
    </row>
    <row r="398" spans="1:11">
      <c r="A398" s="48"/>
      <c r="B398" s="346" t="s">
        <v>360</v>
      </c>
      <c r="C398" s="347">
        <v>3</v>
      </c>
      <c r="D398" s="348">
        <v>425</v>
      </c>
      <c r="E398" s="334">
        <f t="shared" si="145"/>
        <v>340</v>
      </c>
      <c r="F398" s="335">
        <v>1050</v>
      </c>
      <c r="G398" s="334">
        <f t="shared" si="147"/>
        <v>840</v>
      </c>
      <c r="H398" s="336">
        <f t="shared" si="153"/>
        <v>625</v>
      </c>
      <c r="I398" s="337">
        <f t="shared" si="153"/>
        <v>500</v>
      </c>
      <c r="J398" s="338"/>
      <c r="K398" s="339">
        <f t="shared" si="152"/>
        <v>3150</v>
      </c>
    </row>
    <row r="399" spans="1:11">
      <c r="A399" s="51"/>
      <c r="B399" s="71" t="s">
        <v>289</v>
      </c>
      <c r="C399" s="368">
        <v>1</v>
      </c>
      <c r="D399" s="372">
        <v>770</v>
      </c>
      <c r="E399" s="328">
        <f t="shared" si="145"/>
        <v>616</v>
      </c>
      <c r="F399" s="329">
        <f t="shared" si="151"/>
        <v>970</v>
      </c>
      <c r="G399" s="328">
        <f t="shared" si="147"/>
        <v>776</v>
      </c>
      <c r="H399" s="330">
        <f t="shared" si="153"/>
        <v>200</v>
      </c>
      <c r="I399" s="331">
        <f t="shared" si="153"/>
        <v>160</v>
      </c>
      <c r="J399" s="332">
        <f t="shared" si="154"/>
        <v>770</v>
      </c>
      <c r="K399" s="333">
        <f t="shared" si="152"/>
        <v>970</v>
      </c>
    </row>
    <row r="400" spans="1:11">
      <c r="A400" s="51"/>
      <c r="B400" s="76" t="s">
        <v>8</v>
      </c>
      <c r="C400" s="368">
        <v>1</v>
      </c>
      <c r="D400" s="372">
        <v>790</v>
      </c>
      <c r="E400" s="328">
        <f t="shared" si="145"/>
        <v>632</v>
      </c>
      <c r="F400" s="329">
        <f t="shared" si="151"/>
        <v>990</v>
      </c>
      <c r="G400" s="328">
        <f t="shared" si="147"/>
        <v>792</v>
      </c>
      <c r="H400" s="330">
        <f t="shared" si="153"/>
        <v>200</v>
      </c>
      <c r="I400" s="331">
        <f t="shared" si="153"/>
        <v>160</v>
      </c>
      <c r="J400" s="332">
        <f t="shared" si="154"/>
        <v>790</v>
      </c>
      <c r="K400" s="333">
        <f t="shared" si="152"/>
        <v>990</v>
      </c>
    </row>
    <row r="401" spans="1:11">
      <c r="A401" s="51"/>
      <c r="B401" s="76" t="s">
        <v>123</v>
      </c>
      <c r="C401" s="368">
        <v>1</v>
      </c>
      <c r="D401" s="372">
        <v>720</v>
      </c>
      <c r="E401" s="328">
        <f t="shared" si="145"/>
        <v>576</v>
      </c>
      <c r="F401" s="329">
        <f t="shared" si="151"/>
        <v>920</v>
      </c>
      <c r="G401" s="328">
        <f t="shared" si="147"/>
        <v>736</v>
      </c>
      <c r="H401" s="330">
        <f t="shared" si="153"/>
        <v>200</v>
      </c>
      <c r="I401" s="331">
        <f t="shared" si="153"/>
        <v>160</v>
      </c>
      <c r="J401" s="332">
        <f t="shared" si="154"/>
        <v>720</v>
      </c>
      <c r="K401" s="333">
        <f t="shared" si="152"/>
        <v>920</v>
      </c>
    </row>
    <row r="402" spans="1:11">
      <c r="A402" s="51"/>
      <c r="B402" s="76" t="s">
        <v>9</v>
      </c>
      <c r="C402" s="368">
        <v>2</v>
      </c>
      <c r="D402" s="372">
        <v>720</v>
      </c>
      <c r="E402" s="328">
        <f t="shared" si="145"/>
        <v>576</v>
      </c>
      <c r="F402" s="329">
        <f t="shared" si="151"/>
        <v>920</v>
      </c>
      <c r="G402" s="328">
        <f t="shared" si="147"/>
        <v>736</v>
      </c>
      <c r="H402" s="330">
        <f t="shared" si="153"/>
        <v>200</v>
      </c>
      <c r="I402" s="331">
        <f t="shared" si="153"/>
        <v>160</v>
      </c>
      <c r="J402" s="332">
        <f t="shared" si="154"/>
        <v>1440</v>
      </c>
      <c r="K402" s="333">
        <f t="shared" si="152"/>
        <v>1840</v>
      </c>
    </row>
    <row r="403" spans="1:11">
      <c r="A403" s="51"/>
      <c r="B403" s="76" t="s">
        <v>121</v>
      </c>
      <c r="C403" s="368">
        <v>3</v>
      </c>
      <c r="D403" s="372">
        <v>790</v>
      </c>
      <c r="E403" s="328">
        <f t="shared" si="145"/>
        <v>632</v>
      </c>
      <c r="F403" s="329">
        <f>D403+200</f>
        <v>990</v>
      </c>
      <c r="G403" s="328">
        <f t="shared" si="147"/>
        <v>792</v>
      </c>
      <c r="H403" s="330">
        <f t="shared" si="153"/>
        <v>200</v>
      </c>
      <c r="I403" s="331">
        <f t="shared" si="153"/>
        <v>160</v>
      </c>
      <c r="J403" s="332">
        <f>D403*C403</f>
        <v>2370</v>
      </c>
      <c r="K403" s="333">
        <f>F403*C403</f>
        <v>2970</v>
      </c>
    </row>
    <row r="404" spans="1:11" ht="21.75" customHeight="1">
      <c r="A404" s="51"/>
      <c r="B404" s="90" t="s">
        <v>122</v>
      </c>
      <c r="C404" s="369">
        <v>1</v>
      </c>
      <c r="D404" s="373">
        <v>690</v>
      </c>
      <c r="E404" s="334">
        <f t="shared" si="145"/>
        <v>552</v>
      </c>
      <c r="F404" s="335">
        <f>D404+200</f>
        <v>890</v>
      </c>
      <c r="G404" s="334">
        <f t="shared" si="147"/>
        <v>712</v>
      </c>
      <c r="H404" s="336">
        <f t="shared" si="153"/>
        <v>200</v>
      </c>
      <c r="I404" s="337">
        <f t="shared" si="153"/>
        <v>160</v>
      </c>
      <c r="J404" s="338">
        <f t="shared" si="154"/>
        <v>690</v>
      </c>
      <c r="K404" s="339">
        <f t="shared" si="152"/>
        <v>890</v>
      </c>
    </row>
    <row r="405" spans="1:11" ht="23.25" customHeight="1">
      <c r="A405" s="51"/>
      <c r="B405" s="90" t="s">
        <v>10</v>
      </c>
      <c r="C405" s="369">
        <v>1</v>
      </c>
      <c r="D405" s="373">
        <v>600</v>
      </c>
      <c r="E405" s="334">
        <f t="shared" si="145"/>
        <v>480</v>
      </c>
      <c r="F405" s="335">
        <f>D405+200</f>
        <v>800</v>
      </c>
      <c r="G405" s="334">
        <f t="shared" si="147"/>
        <v>640</v>
      </c>
      <c r="H405" s="336">
        <f t="shared" si="153"/>
        <v>200</v>
      </c>
      <c r="I405" s="337">
        <f t="shared" si="153"/>
        <v>160</v>
      </c>
      <c r="J405" s="338">
        <f>D405*C405</f>
        <v>600</v>
      </c>
      <c r="K405" s="339">
        <f>F405*C405</f>
        <v>800</v>
      </c>
    </row>
    <row r="406" spans="1:11" ht="15.75" thickBot="1">
      <c r="A406" s="51"/>
      <c r="B406" s="91" t="s">
        <v>11</v>
      </c>
      <c r="C406" s="370">
        <v>1</v>
      </c>
      <c r="D406" s="374">
        <v>580</v>
      </c>
      <c r="E406" s="340">
        <f t="shared" si="145"/>
        <v>464</v>
      </c>
      <c r="F406" s="335">
        <f>D406+200</f>
        <v>780</v>
      </c>
      <c r="G406" s="334">
        <f t="shared" si="147"/>
        <v>624</v>
      </c>
      <c r="H406" s="336">
        <f t="shared" si="153"/>
        <v>200</v>
      </c>
      <c r="I406" s="337">
        <f t="shared" si="153"/>
        <v>160</v>
      </c>
      <c r="J406" s="338">
        <f>D406*C406</f>
        <v>580</v>
      </c>
      <c r="K406" s="339">
        <f>F406*C406</f>
        <v>780</v>
      </c>
    </row>
    <row r="407" spans="1:11" ht="15.75" thickBot="1">
      <c r="A407" s="196">
        <v>27</v>
      </c>
      <c r="B407" s="74" t="s">
        <v>314</v>
      </c>
      <c r="C407" s="64">
        <f>SUM(C409:C421)-C411</f>
        <v>15</v>
      </c>
      <c r="D407" s="65">
        <v>70</v>
      </c>
      <c r="E407" s="65"/>
      <c r="F407" s="208">
        <v>70</v>
      </c>
      <c r="G407" s="242"/>
      <c r="H407" s="242"/>
      <c r="I407" s="242"/>
      <c r="J407" s="135">
        <f>SUM(J409:J421)</f>
        <v>10840</v>
      </c>
      <c r="K407" s="135">
        <f>SUM(K409:K421)</f>
        <v>14690</v>
      </c>
    </row>
    <row r="408" spans="1:11" ht="15.75" thickBot="1">
      <c r="A408" s="197"/>
      <c r="B408" s="74" t="s">
        <v>113</v>
      </c>
      <c r="C408" s="772">
        <v>70</v>
      </c>
      <c r="D408" s="773"/>
      <c r="E408" s="773"/>
      <c r="F408" s="773"/>
      <c r="G408" s="773"/>
      <c r="H408" s="773"/>
      <c r="I408" s="773"/>
      <c r="J408" s="773"/>
      <c r="K408" s="774"/>
    </row>
    <row r="409" spans="1:11" ht="16.5" customHeight="1">
      <c r="A409" s="51"/>
      <c r="B409" s="75" t="s">
        <v>7</v>
      </c>
      <c r="C409" s="367">
        <v>1</v>
      </c>
      <c r="D409" s="371">
        <v>990</v>
      </c>
      <c r="E409" s="324">
        <f t="shared" ref="E409:E421" si="155">D409-D409*0.2</f>
        <v>792</v>
      </c>
      <c r="F409" s="329">
        <f t="shared" ref="F409:F417" si="156">D409+200</f>
        <v>1190</v>
      </c>
      <c r="G409" s="328">
        <f t="shared" ref="G409:G421" si="157">F409-F409*0.2</f>
        <v>952</v>
      </c>
      <c r="H409" s="325">
        <f>F409-D409</f>
        <v>200</v>
      </c>
      <c r="I409" s="324">
        <f>G409-E409</f>
        <v>160</v>
      </c>
      <c r="J409" s="332">
        <f>D409*C409</f>
        <v>990</v>
      </c>
      <c r="K409" s="333">
        <f t="shared" ref="K409:K421" si="158">F409*C409</f>
        <v>1190</v>
      </c>
    </row>
    <row r="410" spans="1:11" ht="16.5" customHeight="1">
      <c r="A410" s="51"/>
      <c r="B410" s="76" t="s">
        <v>4</v>
      </c>
      <c r="C410" s="368">
        <v>1</v>
      </c>
      <c r="D410" s="372">
        <v>850</v>
      </c>
      <c r="E410" s="328">
        <f t="shared" si="155"/>
        <v>680</v>
      </c>
      <c r="F410" s="329">
        <f t="shared" si="156"/>
        <v>1050</v>
      </c>
      <c r="G410" s="328">
        <f t="shared" si="157"/>
        <v>840</v>
      </c>
      <c r="H410" s="330">
        <f t="shared" ref="H410:I421" si="159">F410-D410</f>
        <v>200</v>
      </c>
      <c r="I410" s="331">
        <f t="shared" si="159"/>
        <v>160</v>
      </c>
      <c r="J410" s="332">
        <f t="shared" ref="J410:J421" si="160">D410*C410</f>
        <v>850</v>
      </c>
      <c r="K410" s="333">
        <f t="shared" si="158"/>
        <v>1050</v>
      </c>
    </row>
    <row r="411" spans="1:11">
      <c r="A411" s="51"/>
      <c r="B411" s="76" t="s">
        <v>120</v>
      </c>
      <c r="C411" s="368">
        <v>3</v>
      </c>
      <c r="D411" s="395">
        <v>850</v>
      </c>
      <c r="E411" s="394">
        <f t="shared" si="155"/>
        <v>680</v>
      </c>
      <c r="F411" s="329"/>
      <c r="G411" s="328">
        <f t="shared" si="157"/>
        <v>0</v>
      </c>
      <c r="H411" s="391">
        <f t="shared" si="159"/>
        <v>-850</v>
      </c>
      <c r="I411" s="392">
        <f t="shared" si="159"/>
        <v>-680</v>
      </c>
      <c r="J411" s="332">
        <f t="shared" si="160"/>
        <v>2550</v>
      </c>
      <c r="K411" s="333">
        <f t="shared" si="158"/>
        <v>0</v>
      </c>
    </row>
    <row r="412" spans="1:11" ht="25.5">
      <c r="A412" s="48"/>
      <c r="B412" s="346" t="s">
        <v>361</v>
      </c>
      <c r="C412" s="347">
        <v>2</v>
      </c>
      <c r="D412" s="348">
        <v>850</v>
      </c>
      <c r="E412" s="334">
        <f t="shared" si="155"/>
        <v>680</v>
      </c>
      <c r="F412" s="335">
        <v>1050</v>
      </c>
      <c r="G412" s="334">
        <f t="shared" si="157"/>
        <v>840</v>
      </c>
      <c r="H412" s="336">
        <f t="shared" si="159"/>
        <v>200</v>
      </c>
      <c r="I412" s="337">
        <f t="shared" si="159"/>
        <v>160</v>
      </c>
      <c r="J412" s="338"/>
      <c r="K412" s="339">
        <f t="shared" si="158"/>
        <v>2100</v>
      </c>
    </row>
    <row r="413" spans="1:11">
      <c r="A413" s="48"/>
      <c r="B413" s="346" t="s">
        <v>360</v>
      </c>
      <c r="C413" s="347">
        <v>2</v>
      </c>
      <c r="D413" s="348">
        <v>425</v>
      </c>
      <c r="E413" s="334">
        <f t="shared" si="155"/>
        <v>340</v>
      </c>
      <c r="F413" s="335">
        <v>1050</v>
      </c>
      <c r="G413" s="334">
        <f t="shared" si="157"/>
        <v>840</v>
      </c>
      <c r="H413" s="336">
        <f t="shared" si="159"/>
        <v>625</v>
      </c>
      <c r="I413" s="337">
        <f t="shared" si="159"/>
        <v>500</v>
      </c>
      <c r="J413" s="338"/>
      <c r="K413" s="339">
        <f t="shared" si="158"/>
        <v>2100</v>
      </c>
    </row>
    <row r="414" spans="1:11">
      <c r="A414" s="51"/>
      <c r="B414" s="71" t="s">
        <v>289</v>
      </c>
      <c r="C414" s="368">
        <v>1</v>
      </c>
      <c r="D414" s="372">
        <v>770</v>
      </c>
      <c r="E414" s="328">
        <f>D414-D414*0.2</f>
        <v>616</v>
      </c>
      <c r="F414" s="329">
        <f>D414+200</f>
        <v>970</v>
      </c>
      <c r="G414" s="328">
        <f>F414-F414*0.2</f>
        <v>776</v>
      </c>
      <c r="H414" s="330">
        <f>F414-D414</f>
        <v>200</v>
      </c>
      <c r="I414" s="331">
        <f>G414-E414</f>
        <v>160</v>
      </c>
      <c r="J414" s="332">
        <f>D414*C414</f>
        <v>770</v>
      </c>
      <c r="K414" s="333">
        <f>F414*C414</f>
        <v>970</v>
      </c>
    </row>
    <row r="415" spans="1:11">
      <c r="A415" s="51"/>
      <c r="B415" s="76" t="s">
        <v>8</v>
      </c>
      <c r="C415" s="368">
        <v>1</v>
      </c>
      <c r="D415" s="372">
        <v>790</v>
      </c>
      <c r="E415" s="328">
        <f t="shared" si="155"/>
        <v>632</v>
      </c>
      <c r="F415" s="329">
        <f t="shared" si="156"/>
        <v>990</v>
      </c>
      <c r="G415" s="328">
        <f t="shared" si="157"/>
        <v>792</v>
      </c>
      <c r="H415" s="330">
        <f t="shared" si="159"/>
        <v>200</v>
      </c>
      <c r="I415" s="331">
        <f t="shared" si="159"/>
        <v>160</v>
      </c>
      <c r="J415" s="332">
        <f t="shared" si="160"/>
        <v>790</v>
      </c>
      <c r="K415" s="333">
        <f t="shared" si="158"/>
        <v>990</v>
      </c>
    </row>
    <row r="416" spans="1:11">
      <c r="A416" s="51"/>
      <c r="B416" s="76" t="s">
        <v>123</v>
      </c>
      <c r="C416" s="368">
        <v>1</v>
      </c>
      <c r="D416" s="372">
        <v>720</v>
      </c>
      <c r="E416" s="328">
        <f t="shared" si="155"/>
        <v>576</v>
      </c>
      <c r="F416" s="329">
        <f t="shared" si="156"/>
        <v>920</v>
      </c>
      <c r="G416" s="328">
        <f t="shared" si="157"/>
        <v>736</v>
      </c>
      <c r="H416" s="330">
        <f t="shared" si="159"/>
        <v>200</v>
      </c>
      <c r="I416" s="331">
        <f t="shared" si="159"/>
        <v>160</v>
      </c>
      <c r="J416" s="332">
        <f t="shared" si="160"/>
        <v>720</v>
      </c>
      <c r="K416" s="333">
        <f t="shared" si="158"/>
        <v>920</v>
      </c>
    </row>
    <row r="417" spans="1:11">
      <c r="A417" s="51"/>
      <c r="B417" s="76" t="s">
        <v>9</v>
      </c>
      <c r="C417" s="368">
        <v>1</v>
      </c>
      <c r="D417" s="372">
        <v>720</v>
      </c>
      <c r="E417" s="328">
        <f t="shared" si="155"/>
        <v>576</v>
      </c>
      <c r="F417" s="329">
        <f t="shared" si="156"/>
        <v>920</v>
      </c>
      <c r="G417" s="328">
        <f t="shared" si="157"/>
        <v>736</v>
      </c>
      <c r="H417" s="330">
        <f t="shared" si="159"/>
        <v>200</v>
      </c>
      <c r="I417" s="331">
        <f t="shared" si="159"/>
        <v>160</v>
      </c>
      <c r="J417" s="332">
        <f t="shared" si="160"/>
        <v>720</v>
      </c>
      <c r="K417" s="333">
        <f t="shared" si="158"/>
        <v>920</v>
      </c>
    </row>
    <row r="418" spans="1:11">
      <c r="A418" s="51"/>
      <c r="B418" s="76" t="s">
        <v>121</v>
      </c>
      <c r="C418" s="368">
        <v>2</v>
      </c>
      <c r="D418" s="372">
        <v>790</v>
      </c>
      <c r="E418" s="328">
        <f t="shared" si="155"/>
        <v>632</v>
      </c>
      <c r="F418" s="329">
        <f>D418+200</f>
        <v>990</v>
      </c>
      <c r="G418" s="328">
        <f t="shared" si="157"/>
        <v>792</v>
      </c>
      <c r="H418" s="330">
        <f t="shared" si="159"/>
        <v>200</v>
      </c>
      <c r="I418" s="331">
        <f t="shared" si="159"/>
        <v>160</v>
      </c>
      <c r="J418" s="332">
        <f t="shared" si="160"/>
        <v>1580</v>
      </c>
      <c r="K418" s="333">
        <f t="shared" si="158"/>
        <v>1980</v>
      </c>
    </row>
    <row r="419" spans="1:11" ht="27" customHeight="1">
      <c r="A419" s="51"/>
      <c r="B419" s="90" t="s">
        <v>122</v>
      </c>
      <c r="C419" s="369">
        <v>1</v>
      </c>
      <c r="D419" s="373">
        <v>690</v>
      </c>
      <c r="E419" s="334">
        <f t="shared" si="155"/>
        <v>552</v>
      </c>
      <c r="F419" s="335">
        <f>D419+200</f>
        <v>890</v>
      </c>
      <c r="G419" s="334">
        <f t="shared" si="157"/>
        <v>712</v>
      </c>
      <c r="H419" s="336">
        <f t="shared" si="159"/>
        <v>200</v>
      </c>
      <c r="I419" s="337">
        <f t="shared" si="159"/>
        <v>160</v>
      </c>
      <c r="J419" s="338">
        <f t="shared" si="160"/>
        <v>690</v>
      </c>
      <c r="K419" s="339">
        <f t="shared" si="158"/>
        <v>890</v>
      </c>
    </row>
    <row r="420" spans="1:11" ht="27" customHeight="1">
      <c r="A420" s="51"/>
      <c r="B420" s="90" t="s">
        <v>10</v>
      </c>
      <c r="C420" s="369">
        <v>1</v>
      </c>
      <c r="D420" s="373">
        <v>600</v>
      </c>
      <c r="E420" s="334">
        <f t="shared" si="155"/>
        <v>480</v>
      </c>
      <c r="F420" s="335">
        <f>D420+200</f>
        <v>800</v>
      </c>
      <c r="G420" s="334">
        <f t="shared" si="157"/>
        <v>640</v>
      </c>
      <c r="H420" s="336">
        <f t="shared" si="159"/>
        <v>200</v>
      </c>
      <c r="I420" s="337">
        <f t="shared" si="159"/>
        <v>160</v>
      </c>
      <c r="J420" s="338">
        <f t="shared" si="160"/>
        <v>600</v>
      </c>
      <c r="K420" s="339">
        <f t="shared" si="158"/>
        <v>800</v>
      </c>
    </row>
    <row r="421" spans="1:11" ht="15.75" thickBot="1">
      <c r="A421" s="51"/>
      <c r="B421" s="91" t="s">
        <v>11</v>
      </c>
      <c r="C421" s="377">
        <v>1</v>
      </c>
      <c r="D421" s="374">
        <v>580</v>
      </c>
      <c r="E421" s="340">
        <f t="shared" si="155"/>
        <v>464</v>
      </c>
      <c r="F421" s="335">
        <f>D421+200</f>
        <v>780</v>
      </c>
      <c r="G421" s="334">
        <f t="shared" si="157"/>
        <v>624</v>
      </c>
      <c r="H421" s="336">
        <f t="shared" si="159"/>
        <v>200</v>
      </c>
      <c r="I421" s="337">
        <f t="shared" si="159"/>
        <v>160</v>
      </c>
      <c r="J421" s="338">
        <f t="shared" si="160"/>
        <v>580</v>
      </c>
      <c r="K421" s="339">
        <f t="shared" si="158"/>
        <v>780</v>
      </c>
    </row>
    <row r="422" spans="1:11" ht="15.75" thickBot="1">
      <c r="A422" s="775">
        <v>28</v>
      </c>
      <c r="B422" s="78" t="s">
        <v>315</v>
      </c>
      <c r="C422" s="64">
        <f>SUM(C424:C436)-C426</f>
        <v>19</v>
      </c>
      <c r="D422" s="65">
        <v>105</v>
      </c>
      <c r="E422" s="65"/>
      <c r="F422" s="208">
        <v>105</v>
      </c>
      <c r="G422" s="242"/>
      <c r="H422" s="242"/>
      <c r="I422" s="242"/>
      <c r="J422" s="135">
        <f>SUM(J424:J436)</f>
        <v>13625</v>
      </c>
      <c r="K422" s="135">
        <f>SUM(K424:K436)</f>
        <v>18700</v>
      </c>
    </row>
    <row r="423" spans="1:11" ht="15.75" thickBot="1">
      <c r="A423" s="779"/>
      <c r="B423" s="79" t="s">
        <v>113</v>
      </c>
      <c r="C423" s="772">
        <v>105</v>
      </c>
      <c r="D423" s="773"/>
      <c r="E423" s="773"/>
      <c r="F423" s="773"/>
      <c r="G423" s="773"/>
      <c r="H423" s="773"/>
      <c r="I423" s="773"/>
      <c r="J423" s="773"/>
      <c r="K423" s="774"/>
    </row>
    <row r="424" spans="1:11" ht="16.5" customHeight="1">
      <c r="A424" s="565"/>
      <c r="B424" s="80" t="s">
        <v>7</v>
      </c>
      <c r="C424" s="375">
        <v>1</v>
      </c>
      <c r="D424" s="371">
        <v>990</v>
      </c>
      <c r="E424" s="324">
        <f t="shared" ref="E424:E436" si="161">D424-D424*0.2</f>
        <v>792</v>
      </c>
      <c r="F424" s="329">
        <f t="shared" ref="F424:F432" si="162">D424+200</f>
        <v>1190</v>
      </c>
      <c r="G424" s="328">
        <f t="shared" ref="G424:G436" si="163">F424-F424*0.2</f>
        <v>952</v>
      </c>
      <c r="H424" s="325">
        <f>F424-D424</f>
        <v>200</v>
      </c>
      <c r="I424" s="324">
        <f>G424-E424</f>
        <v>160</v>
      </c>
      <c r="J424" s="332">
        <f>D424*C424</f>
        <v>990</v>
      </c>
      <c r="K424" s="333">
        <f t="shared" ref="K424:K436" si="164">F424*C424</f>
        <v>1190</v>
      </c>
    </row>
    <row r="425" spans="1:11" ht="16.5" customHeight="1">
      <c r="A425" s="567"/>
      <c r="B425" s="81" t="s">
        <v>4</v>
      </c>
      <c r="C425" s="376">
        <v>1</v>
      </c>
      <c r="D425" s="372">
        <v>850</v>
      </c>
      <c r="E425" s="328">
        <f t="shared" si="161"/>
        <v>680</v>
      </c>
      <c r="F425" s="329">
        <f t="shared" si="162"/>
        <v>1050</v>
      </c>
      <c r="G425" s="328">
        <f t="shared" si="163"/>
        <v>840</v>
      </c>
      <c r="H425" s="330">
        <f t="shared" ref="H425:I436" si="165">F425-D425</f>
        <v>200</v>
      </c>
      <c r="I425" s="331">
        <f t="shared" si="165"/>
        <v>160</v>
      </c>
      <c r="J425" s="332">
        <f t="shared" ref="J425:J436" si="166">D425*C425</f>
        <v>850</v>
      </c>
      <c r="K425" s="333">
        <f t="shared" si="164"/>
        <v>1050</v>
      </c>
    </row>
    <row r="426" spans="1:11">
      <c r="A426" s="567"/>
      <c r="B426" s="81" t="s">
        <v>120</v>
      </c>
      <c r="C426" s="376">
        <v>4.5</v>
      </c>
      <c r="D426" s="395">
        <v>850</v>
      </c>
      <c r="E426" s="394">
        <f t="shared" si="161"/>
        <v>680</v>
      </c>
      <c r="F426" s="329"/>
      <c r="G426" s="328">
        <f t="shared" si="163"/>
        <v>0</v>
      </c>
      <c r="H426" s="391">
        <f t="shared" si="165"/>
        <v>-850</v>
      </c>
      <c r="I426" s="392">
        <f t="shared" si="165"/>
        <v>-680</v>
      </c>
      <c r="J426" s="332">
        <f t="shared" si="166"/>
        <v>3825</v>
      </c>
      <c r="K426" s="333">
        <f t="shared" si="164"/>
        <v>0</v>
      </c>
    </row>
    <row r="427" spans="1:11" ht="25.5">
      <c r="A427" s="48"/>
      <c r="B427" s="346" t="s">
        <v>361</v>
      </c>
      <c r="C427" s="347">
        <v>3</v>
      </c>
      <c r="D427" s="348">
        <v>850</v>
      </c>
      <c r="E427" s="334">
        <f t="shared" si="161"/>
        <v>680</v>
      </c>
      <c r="F427" s="335">
        <v>1050</v>
      </c>
      <c r="G427" s="334">
        <f t="shared" si="163"/>
        <v>840</v>
      </c>
      <c r="H427" s="336">
        <f t="shared" si="165"/>
        <v>200</v>
      </c>
      <c r="I427" s="337">
        <f t="shared" si="165"/>
        <v>160</v>
      </c>
      <c r="J427" s="338"/>
      <c r="K427" s="339">
        <f t="shared" si="164"/>
        <v>3150</v>
      </c>
    </row>
    <row r="428" spans="1:11">
      <c r="A428" s="48"/>
      <c r="B428" s="346" t="s">
        <v>360</v>
      </c>
      <c r="C428" s="347">
        <v>3</v>
      </c>
      <c r="D428" s="348">
        <v>425</v>
      </c>
      <c r="E428" s="334">
        <f t="shared" si="161"/>
        <v>340</v>
      </c>
      <c r="F428" s="335">
        <v>1050</v>
      </c>
      <c r="G428" s="334">
        <f t="shared" si="163"/>
        <v>840</v>
      </c>
      <c r="H428" s="336">
        <f t="shared" si="165"/>
        <v>625</v>
      </c>
      <c r="I428" s="337">
        <f t="shared" si="165"/>
        <v>500</v>
      </c>
      <c r="J428" s="338"/>
      <c r="K428" s="339">
        <f t="shared" si="164"/>
        <v>3150</v>
      </c>
    </row>
    <row r="429" spans="1:11">
      <c r="A429" s="567"/>
      <c r="B429" s="81" t="s">
        <v>8</v>
      </c>
      <c r="C429" s="376">
        <v>1</v>
      </c>
      <c r="D429" s="372">
        <v>790</v>
      </c>
      <c r="E429" s="328">
        <f t="shared" si="161"/>
        <v>632</v>
      </c>
      <c r="F429" s="329">
        <f t="shared" si="162"/>
        <v>990</v>
      </c>
      <c r="G429" s="328">
        <f t="shared" si="163"/>
        <v>792</v>
      </c>
      <c r="H429" s="330">
        <f t="shared" si="165"/>
        <v>200</v>
      </c>
      <c r="I429" s="331">
        <f t="shared" si="165"/>
        <v>160</v>
      </c>
      <c r="J429" s="332">
        <f t="shared" si="166"/>
        <v>790</v>
      </c>
      <c r="K429" s="333">
        <f t="shared" si="164"/>
        <v>990</v>
      </c>
    </row>
    <row r="430" spans="1:11">
      <c r="A430" s="567"/>
      <c r="B430" s="81" t="s">
        <v>289</v>
      </c>
      <c r="C430" s="376">
        <v>1</v>
      </c>
      <c r="D430" s="372">
        <v>770</v>
      </c>
      <c r="E430" s="328">
        <f t="shared" si="161"/>
        <v>616</v>
      </c>
      <c r="F430" s="329">
        <f t="shared" si="162"/>
        <v>970</v>
      </c>
      <c r="G430" s="328">
        <f t="shared" si="163"/>
        <v>776</v>
      </c>
      <c r="H430" s="330">
        <f t="shared" si="165"/>
        <v>200</v>
      </c>
      <c r="I430" s="331">
        <f t="shared" si="165"/>
        <v>160</v>
      </c>
      <c r="J430" s="332">
        <f t="shared" si="166"/>
        <v>770</v>
      </c>
      <c r="K430" s="333">
        <f t="shared" si="164"/>
        <v>970</v>
      </c>
    </row>
    <row r="431" spans="1:11">
      <c r="A431" s="567"/>
      <c r="B431" s="81" t="s">
        <v>123</v>
      </c>
      <c r="C431" s="376">
        <v>1</v>
      </c>
      <c r="D431" s="372">
        <v>720</v>
      </c>
      <c r="E431" s="328">
        <f t="shared" si="161"/>
        <v>576</v>
      </c>
      <c r="F431" s="329">
        <f t="shared" si="162"/>
        <v>920</v>
      </c>
      <c r="G431" s="328">
        <f t="shared" si="163"/>
        <v>736</v>
      </c>
      <c r="H431" s="330">
        <f t="shared" si="165"/>
        <v>200</v>
      </c>
      <c r="I431" s="331">
        <f t="shared" si="165"/>
        <v>160</v>
      </c>
      <c r="J431" s="332">
        <f t="shared" si="166"/>
        <v>720</v>
      </c>
      <c r="K431" s="333">
        <f t="shared" si="164"/>
        <v>920</v>
      </c>
    </row>
    <row r="432" spans="1:11">
      <c r="A432" s="567"/>
      <c r="B432" s="81" t="s">
        <v>9</v>
      </c>
      <c r="C432" s="376">
        <v>2</v>
      </c>
      <c r="D432" s="372">
        <v>720</v>
      </c>
      <c r="E432" s="328">
        <f t="shared" si="161"/>
        <v>576</v>
      </c>
      <c r="F432" s="329">
        <f t="shared" si="162"/>
        <v>920</v>
      </c>
      <c r="G432" s="328">
        <f t="shared" si="163"/>
        <v>736</v>
      </c>
      <c r="H432" s="330">
        <f t="shared" si="165"/>
        <v>200</v>
      </c>
      <c r="I432" s="331">
        <f t="shared" si="165"/>
        <v>160</v>
      </c>
      <c r="J432" s="332">
        <f t="shared" si="166"/>
        <v>1440</v>
      </c>
      <c r="K432" s="333">
        <f t="shared" si="164"/>
        <v>1840</v>
      </c>
    </row>
    <row r="433" spans="1:11">
      <c r="A433" s="567"/>
      <c r="B433" s="81" t="s">
        <v>121</v>
      </c>
      <c r="C433" s="376">
        <v>3</v>
      </c>
      <c r="D433" s="372">
        <v>790</v>
      </c>
      <c r="E433" s="328">
        <f t="shared" si="161"/>
        <v>632</v>
      </c>
      <c r="F433" s="329">
        <f>D433+200</f>
        <v>990</v>
      </c>
      <c r="G433" s="328">
        <f t="shared" si="163"/>
        <v>792</v>
      </c>
      <c r="H433" s="330">
        <f t="shared" si="165"/>
        <v>200</v>
      </c>
      <c r="I433" s="331">
        <f t="shared" si="165"/>
        <v>160</v>
      </c>
      <c r="J433" s="332">
        <f t="shared" si="166"/>
        <v>2370</v>
      </c>
      <c r="K433" s="333">
        <f t="shared" si="164"/>
        <v>2970</v>
      </c>
    </row>
    <row r="434" spans="1:11" ht="21.75" customHeight="1">
      <c r="A434" s="567"/>
      <c r="B434" s="92" t="s">
        <v>122</v>
      </c>
      <c r="C434" s="369">
        <v>1</v>
      </c>
      <c r="D434" s="373">
        <v>690</v>
      </c>
      <c r="E434" s="334">
        <f t="shared" si="161"/>
        <v>552</v>
      </c>
      <c r="F434" s="335">
        <f>D434+200</f>
        <v>890</v>
      </c>
      <c r="G434" s="334">
        <f t="shared" si="163"/>
        <v>712</v>
      </c>
      <c r="H434" s="336">
        <f t="shared" si="165"/>
        <v>200</v>
      </c>
      <c r="I434" s="337">
        <f t="shared" si="165"/>
        <v>160</v>
      </c>
      <c r="J434" s="338">
        <f t="shared" si="166"/>
        <v>690</v>
      </c>
      <c r="K434" s="339">
        <f t="shared" si="164"/>
        <v>890</v>
      </c>
    </row>
    <row r="435" spans="1:11" ht="19.5" customHeight="1">
      <c r="A435" s="48"/>
      <c r="B435" s="92" t="s">
        <v>10</v>
      </c>
      <c r="C435" s="369">
        <v>1</v>
      </c>
      <c r="D435" s="373">
        <v>600</v>
      </c>
      <c r="E435" s="334">
        <f t="shared" si="161"/>
        <v>480</v>
      </c>
      <c r="F435" s="335">
        <f>D435+200</f>
        <v>800</v>
      </c>
      <c r="G435" s="334">
        <f t="shared" si="163"/>
        <v>640</v>
      </c>
      <c r="H435" s="336">
        <f t="shared" si="165"/>
        <v>200</v>
      </c>
      <c r="I435" s="337">
        <f t="shared" si="165"/>
        <v>160</v>
      </c>
      <c r="J435" s="338">
        <f t="shared" si="166"/>
        <v>600</v>
      </c>
      <c r="K435" s="339">
        <f t="shared" si="164"/>
        <v>800</v>
      </c>
    </row>
    <row r="436" spans="1:11" ht="17.25" customHeight="1" thickBot="1">
      <c r="A436" s="566"/>
      <c r="B436" s="93" t="s">
        <v>11</v>
      </c>
      <c r="C436" s="370">
        <v>1</v>
      </c>
      <c r="D436" s="374">
        <v>580</v>
      </c>
      <c r="E436" s="340">
        <f t="shared" si="161"/>
        <v>464</v>
      </c>
      <c r="F436" s="335">
        <f>D436+200</f>
        <v>780</v>
      </c>
      <c r="G436" s="334">
        <f t="shared" si="163"/>
        <v>624</v>
      </c>
      <c r="H436" s="336">
        <f t="shared" si="165"/>
        <v>200</v>
      </c>
      <c r="I436" s="337">
        <f t="shared" si="165"/>
        <v>160</v>
      </c>
      <c r="J436" s="338">
        <f t="shared" si="166"/>
        <v>580</v>
      </c>
      <c r="K436" s="339">
        <f t="shared" si="164"/>
        <v>780</v>
      </c>
    </row>
    <row r="437" spans="1:11" ht="17.25" customHeight="1" thickBot="1">
      <c r="A437" s="775">
        <v>29</v>
      </c>
      <c r="B437" s="83" t="s">
        <v>316</v>
      </c>
      <c r="C437" s="64">
        <f>SUM(C439:C451)-C441</f>
        <v>19</v>
      </c>
      <c r="D437" s="64">
        <v>105</v>
      </c>
      <c r="E437" s="64"/>
      <c r="F437" s="209">
        <v>105</v>
      </c>
      <c r="G437" s="209"/>
      <c r="H437" s="209"/>
      <c r="I437" s="209"/>
      <c r="J437" s="136">
        <f>SUM(J439:J451)</f>
        <v>13625</v>
      </c>
      <c r="K437" s="137">
        <f>SUM(K439:K451)</f>
        <v>18700</v>
      </c>
    </row>
    <row r="438" spans="1:11" ht="17.25" customHeight="1" thickBot="1">
      <c r="A438" s="776"/>
      <c r="B438" s="84" t="s">
        <v>119</v>
      </c>
      <c r="C438" s="772">
        <v>105</v>
      </c>
      <c r="D438" s="773"/>
      <c r="E438" s="773"/>
      <c r="F438" s="773"/>
      <c r="G438" s="773"/>
      <c r="H438" s="773"/>
      <c r="I438" s="773"/>
      <c r="J438" s="773"/>
      <c r="K438" s="774"/>
    </row>
    <row r="439" spans="1:11" ht="17.25" customHeight="1">
      <c r="A439" s="48"/>
      <c r="B439" s="75" t="s">
        <v>7</v>
      </c>
      <c r="C439" s="367">
        <v>1</v>
      </c>
      <c r="D439" s="371">
        <v>990</v>
      </c>
      <c r="E439" s="324">
        <f t="shared" ref="E439:E451" si="167">D439-D439*0.2</f>
        <v>792</v>
      </c>
      <c r="F439" s="329">
        <f t="shared" ref="F439:F447" si="168">D439+200</f>
        <v>1190</v>
      </c>
      <c r="G439" s="328">
        <f t="shared" ref="G439:G451" si="169">F439-F439*0.2</f>
        <v>952</v>
      </c>
      <c r="H439" s="325">
        <f>F439-D439</f>
        <v>200</v>
      </c>
      <c r="I439" s="324">
        <f>G439-E439</f>
        <v>160</v>
      </c>
      <c r="J439" s="332">
        <f>D439*C439</f>
        <v>990</v>
      </c>
      <c r="K439" s="333">
        <f t="shared" ref="K439:K451" si="170">F439*C439</f>
        <v>1190</v>
      </c>
    </row>
    <row r="440" spans="1:11" ht="17.25" customHeight="1">
      <c r="A440" s="48"/>
      <c r="B440" s="76" t="s">
        <v>4</v>
      </c>
      <c r="C440" s="368">
        <v>1</v>
      </c>
      <c r="D440" s="372">
        <v>850</v>
      </c>
      <c r="E440" s="328">
        <f t="shared" si="167"/>
        <v>680</v>
      </c>
      <c r="F440" s="329">
        <f t="shared" si="168"/>
        <v>1050</v>
      </c>
      <c r="G440" s="328">
        <f t="shared" si="169"/>
        <v>840</v>
      </c>
      <c r="H440" s="330">
        <f t="shared" ref="H440:I451" si="171">F440-D440</f>
        <v>200</v>
      </c>
      <c r="I440" s="331">
        <f t="shared" si="171"/>
        <v>160</v>
      </c>
      <c r="J440" s="332">
        <f t="shared" ref="J440:J451" si="172">D440*C440</f>
        <v>850</v>
      </c>
      <c r="K440" s="333">
        <f t="shared" si="170"/>
        <v>1050</v>
      </c>
    </row>
    <row r="441" spans="1:11" ht="17.25" customHeight="1">
      <c r="A441" s="48"/>
      <c r="B441" s="76" t="s">
        <v>120</v>
      </c>
      <c r="C441" s="368">
        <v>4.5</v>
      </c>
      <c r="D441" s="395">
        <v>850</v>
      </c>
      <c r="E441" s="394">
        <f t="shared" si="167"/>
        <v>680</v>
      </c>
      <c r="F441" s="329"/>
      <c r="G441" s="328">
        <f t="shared" si="169"/>
        <v>0</v>
      </c>
      <c r="H441" s="391">
        <f t="shared" si="171"/>
        <v>-850</v>
      </c>
      <c r="I441" s="392">
        <f t="shared" si="171"/>
        <v>-680</v>
      </c>
      <c r="J441" s="332">
        <f t="shared" si="172"/>
        <v>3825</v>
      </c>
      <c r="K441" s="333">
        <f t="shared" si="170"/>
        <v>0</v>
      </c>
    </row>
    <row r="442" spans="1:11" ht="17.25" customHeight="1">
      <c r="A442" s="48"/>
      <c r="B442" s="346" t="s">
        <v>361</v>
      </c>
      <c r="C442" s="347">
        <v>3</v>
      </c>
      <c r="D442" s="348">
        <v>850</v>
      </c>
      <c r="E442" s="334">
        <f t="shared" si="167"/>
        <v>680</v>
      </c>
      <c r="F442" s="335">
        <v>1050</v>
      </c>
      <c r="G442" s="334">
        <f t="shared" si="169"/>
        <v>840</v>
      </c>
      <c r="H442" s="336">
        <f t="shared" si="171"/>
        <v>200</v>
      </c>
      <c r="I442" s="337">
        <f t="shared" si="171"/>
        <v>160</v>
      </c>
      <c r="J442" s="338"/>
      <c r="K442" s="339">
        <f t="shared" si="170"/>
        <v>3150</v>
      </c>
    </row>
    <row r="443" spans="1:11" ht="17.25" customHeight="1">
      <c r="A443" s="48"/>
      <c r="B443" s="346" t="s">
        <v>360</v>
      </c>
      <c r="C443" s="347">
        <v>3</v>
      </c>
      <c r="D443" s="348">
        <v>425</v>
      </c>
      <c r="E443" s="334">
        <f t="shared" si="167"/>
        <v>340</v>
      </c>
      <c r="F443" s="335">
        <v>1050</v>
      </c>
      <c r="G443" s="334">
        <f t="shared" si="169"/>
        <v>840</v>
      </c>
      <c r="H443" s="336">
        <f t="shared" si="171"/>
        <v>625</v>
      </c>
      <c r="I443" s="337">
        <f t="shared" si="171"/>
        <v>500</v>
      </c>
      <c r="J443" s="338"/>
      <c r="K443" s="339">
        <f t="shared" si="170"/>
        <v>3150</v>
      </c>
    </row>
    <row r="444" spans="1:11" ht="17.25" customHeight="1">
      <c r="A444" s="48"/>
      <c r="B444" s="71" t="s">
        <v>289</v>
      </c>
      <c r="C444" s="368">
        <v>1</v>
      </c>
      <c r="D444" s="372">
        <v>770</v>
      </c>
      <c r="E444" s="328">
        <f t="shared" si="167"/>
        <v>616</v>
      </c>
      <c r="F444" s="329">
        <f t="shared" si="168"/>
        <v>970</v>
      </c>
      <c r="G444" s="328">
        <f t="shared" si="169"/>
        <v>776</v>
      </c>
      <c r="H444" s="330">
        <f t="shared" si="171"/>
        <v>200</v>
      </c>
      <c r="I444" s="331">
        <f t="shared" si="171"/>
        <v>160</v>
      </c>
      <c r="J444" s="332">
        <f t="shared" si="172"/>
        <v>770</v>
      </c>
      <c r="K444" s="333">
        <f t="shared" si="170"/>
        <v>970</v>
      </c>
    </row>
    <row r="445" spans="1:11" ht="17.25" customHeight="1">
      <c r="A445" s="48"/>
      <c r="B445" s="76" t="s">
        <v>8</v>
      </c>
      <c r="C445" s="368">
        <v>1</v>
      </c>
      <c r="D445" s="372">
        <v>790</v>
      </c>
      <c r="E445" s="328">
        <f t="shared" si="167"/>
        <v>632</v>
      </c>
      <c r="F445" s="329">
        <f t="shared" si="168"/>
        <v>990</v>
      </c>
      <c r="G445" s="328">
        <f t="shared" si="169"/>
        <v>792</v>
      </c>
      <c r="H445" s="330">
        <f t="shared" si="171"/>
        <v>200</v>
      </c>
      <c r="I445" s="331">
        <f t="shared" si="171"/>
        <v>160</v>
      </c>
      <c r="J445" s="332">
        <f t="shared" si="172"/>
        <v>790</v>
      </c>
      <c r="K445" s="333">
        <f t="shared" si="170"/>
        <v>990</v>
      </c>
    </row>
    <row r="446" spans="1:11" ht="17.25" customHeight="1">
      <c r="A446" s="48"/>
      <c r="B446" s="76" t="s">
        <v>123</v>
      </c>
      <c r="C446" s="368">
        <v>1</v>
      </c>
      <c r="D446" s="372">
        <v>720</v>
      </c>
      <c r="E446" s="328">
        <f t="shared" si="167"/>
        <v>576</v>
      </c>
      <c r="F446" s="329">
        <f t="shared" si="168"/>
        <v>920</v>
      </c>
      <c r="G446" s="328">
        <f t="shared" si="169"/>
        <v>736</v>
      </c>
      <c r="H446" s="330">
        <f t="shared" si="171"/>
        <v>200</v>
      </c>
      <c r="I446" s="331">
        <f t="shared" si="171"/>
        <v>160</v>
      </c>
      <c r="J446" s="332">
        <f t="shared" si="172"/>
        <v>720</v>
      </c>
      <c r="K446" s="333">
        <f t="shared" si="170"/>
        <v>920</v>
      </c>
    </row>
    <row r="447" spans="1:11" ht="17.25" customHeight="1">
      <c r="A447" s="48"/>
      <c r="B447" s="76" t="s">
        <v>9</v>
      </c>
      <c r="C447" s="368">
        <v>2</v>
      </c>
      <c r="D447" s="372">
        <v>720</v>
      </c>
      <c r="E447" s="328">
        <f t="shared" si="167"/>
        <v>576</v>
      </c>
      <c r="F447" s="329">
        <f t="shared" si="168"/>
        <v>920</v>
      </c>
      <c r="G447" s="328">
        <f t="shared" si="169"/>
        <v>736</v>
      </c>
      <c r="H447" s="330">
        <f t="shared" si="171"/>
        <v>200</v>
      </c>
      <c r="I447" s="331">
        <f t="shared" si="171"/>
        <v>160</v>
      </c>
      <c r="J447" s="332">
        <f t="shared" si="172"/>
        <v>1440</v>
      </c>
      <c r="K447" s="333">
        <f t="shared" si="170"/>
        <v>1840</v>
      </c>
    </row>
    <row r="448" spans="1:11" ht="17.25" customHeight="1">
      <c r="A448" s="48"/>
      <c r="B448" s="76" t="s">
        <v>121</v>
      </c>
      <c r="C448" s="368">
        <v>3</v>
      </c>
      <c r="D448" s="372">
        <v>790</v>
      </c>
      <c r="E448" s="328">
        <f t="shared" si="167"/>
        <v>632</v>
      </c>
      <c r="F448" s="329">
        <f>D448+200</f>
        <v>990</v>
      </c>
      <c r="G448" s="328">
        <f t="shared" si="169"/>
        <v>792</v>
      </c>
      <c r="H448" s="330">
        <f t="shared" si="171"/>
        <v>200</v>
      </c>
      <c r="I448" s="331">
        <f t="shared" si="171"/>
        <v>160</v>
      </c>
      <c r="J448" s="332">
        <f t="shared" si="172"/>
        <v>2370</v>
      </c>
      <c r="K448" s="333">
        <f t="shared" si="170"/>
        <v>2970</v>
      </c>
    </row>
    <row r="449" spans="1:11" ht="21.75" customHeight="1">
      <c r="A449" s="48"/>
      <c r="B449" s="90" t="s">
        <v>122</v>
      </c>
      <c r="C449" s="369">
        <v>1</v>
      </c>
      <c r="D449" s="373">
        <v>690</v>
      </c>
      <c r="E449" s="334">
        <f t="shared" si="167"/>
        <v>552</v>
      </c>
      <c r="F449" s="335">
        <f>D449+200</f>
        <v>890</v>
      </c>
      <c r="G449" s="334">
        <f t="shared" si="169"/>
        <v>712</v>
      </c>
      <c r="H449" s="336">
        <f t="shared" si="171"/>
        <v>200</v>
      </c>
      <c r="I449" s="337">
        <f t="shared" si="171"/>
        <v>160</v>
      </c>
      <c r="J449" s="338">
        <f t="shared" si="172"/>
        <v>690</v>
      </c>
      <c r="K449" s="339">
        <f t="shared" si="170"/>
        <v>890</v>
      </c>
    </row>
    <row r="450" spans="1:11" ht="21.75" customHeight="1">
      <c r="A450" s="48"/>
      <c r="B450" s="90" t="s">
        <v>10</v>
      </c>
      <c r="C450" s="369">
        <v>1</v>
      </c>
      <c r="D450" s="373">
        <v>600</v>
      </c>
      <c r="E450" s="334">
        <f t="shared" si="167"/>
        <v>480</v>
      </c>
      <c r="F450" s="335">
        <f>D450+200</f>
        <v>800</v>
      </c>
      <c r="G450" s="334">
        <f t="shared" si="169"/>
        <v>640</v>
      </c>
      <c r="H450" s="336">
        <f t="shared" si="171"/>
        <v>200</v>
      </c>
      <c r="I450" s="337">
        <f t="shared" si="171"/>
        <v>160</v>
      </c>
      <c r="J450" s="338">
        <f t="shared" si="172"/>
        <v>600</v>
      </c>
      <c r="K450" s="339">
        <f t="shared" si="170"/>
        <v>800</v>
      </c>
    </row>
    <row r="451" spans="1:11" ht="21.75" customHeight="1" thickBot="1">
      <c r="A451" s="48"/>
      <c r="B451" s="91" t="s">
        <v>11</v>
      </c>
      <c r="C451" s="370">
        <v>1</v>
      </c>
      <c r="D451" s="374">
        <v>580</v>
      </c>
      <c r="E451" s="340">
        <f t="shared" si="167"/>
        <v>464</v>
      </c>
      <c r="F451" s="335">
        <f>D451+200</f>
        <v>780</v>
      </c>
      <c r="G451" s="334">
        <f t="shared" si="169"/>
        <v>624</v>
      </c>
      <c r="H451" s="336">
        <f t="shared" si="171"/>
        <v>200</v>
      </c>
      <c r="I451" s="337">
        <f t="shared" si="171"/>
        <v>160</v>
      </c>
      <c r="J451" s="338">
        <f t="shared" si="172"/>
        <v>580</v>
      </c>
      <c r="K451" s="339">
        <f t="shared" si="170"/>
        <v>780</v>
      </c>
    </row>
    <row r="452" spans="1:11" ht="39" customHeight="1" thickBot="1">
      <c r="A452" s="94"/>
      <c r="B452" s="95" t="s">
        <v>53</v>
      </c>
      <c r="C452" s="98">
        <f>C4+C22+C37+C52+C67+C82+C112+C97+C127+C142+C157+C171+C186+C201+C216+C230+C244+C259+C274+C289+C304+C319+C334+C348+C363+C378+C392+C407+C422+C437</f>
        <v>631</v>
      </c>
      <c r="D452" s="98">
        <f>D4+D22+D37+D52+D67+D82+D112+D97+D127+D142+D157+D171+D186+D201+D216+D230+D244+D259+D274+D289+D304+D319+D334+D348+D363+D378+D392+D407+D422+D437</f>
        <v>3295</v>
      </c>
      <c r="E452" s="98"/>
      <c r="F452" s="233" t="s">
        <v>271</v>
      </c>
      <c r="G452" s="243"/>
      <c r="H452" s="243"/>
      <c r="I452" s="243"/>
      <c r="J452" s="138">
        <f>J4+J22+J37+J52+J67+J82+J112+J97+J127+J142+J157+J171+J186+J201+J216+J230+J244+J259+J274+J289+J304+J319+J334+J348+J363+J378+J392+J407+J422+J437</f>
        <v>455510</v>
      </c>
      <c r="K452" s="138">
        <f>K4+K22+K37+K52+K67+K82+K112+K97+K127+K142+K157+K171+K186+K201+K216+K230+K244+K259+K274+K289+K304+K319+K334+K348+K363+K378+K392+K407+K422+K437</f>
        <v>620760</v>
      </c>
    </row>
    <row r="453" spans="1:11" ht="44.25" customHeight="1">
      <c r="C453" s="198"/>
      <c r="D453" s="82"/>
      <c r="E453" s="82"/>
      <c r="F453" s="777"/>
      <c r="G453" s="777"/>
      <c r="H453" s="777"/>
      <c r="I453" s="777"/>
      <c r="J453" s="778">
        <f>K452-J452</f>
        <v>165250</v>
      </c>
      <c r="K453" s="778"/>
    </row>
    <row r="454" spans="1:11" ht="45.75" customHeight="1">
      <c r="A454" s="747" t="s">
        <v>124</v>
      </c>
      <c r="B454" s="747"/>
      <c r="C454" s="747"/>
      <c r="D454" s="747"/>
      <c r="E454" s="747"/>
      <c r="F454" s="747"/>
      <c r="G454" s="747"/>
      <c r="H454" s="747"/>
      <c r="I454" s="747"/>
      <c r="J454" s="747"/>
      <c r="K454" s="747"/>
    </row>
    <row r="455" spans="1:11" ht="23.25" customHeight="1" thickBot="1">
      <c r="B455" s="97"/>
      <c r="C455" s="1"/>
      <c r="D455" s="1"/>
      <c r="E455" s="1"/>
      <c r="F455" s="195"/>
      <c r="G455" s="195"/>
      <c r="H455" s="195"/>
      <c r="I455" s="195"/>
      <c r="J455" s="53"/>
    </row>
    <row r="456" spans="1:11" ht="46.5" customHeight="1" thickBot="1">
      <c r="A456" s="754" t="s">
        <v>29</v>
      </c>
      <c r="B456" s="756" t="s">
        <v>107</v>
      </c>
      <c r="C456" s="750" t="s">
        <v>2</v>
      </c>
      <c r="D456" s="758" t="s">
        <v>285</v>
      </c>
      <c r="E456" s="759"/>
      <c r="F456" s="758" t="s">
        <v>341</v>
      </c>
      <c r="G456" s="760"/>
      <c r="H456" s="748" t="s">
        <v>355</v>
      </c>
      <c r="I456" s="749"/>
      <c r="J456" s="750" t="s">
        <v>398</v>
      </c>
      <c r="K456" s="752" t="s">
        <v>399</v>
      </c>
    </row>
    <row r="457" spans="1:11" ht="54" customHeight="1" thickBot="1">
      <c r="A457" s="755"/>
      <c r="B457" s="757"/>
      <c r="C457" s="751"/>
      <c r="D457" s="244" t="s">
        <v>353</v>
      </c>
      <c r="E457" s="245" t="s">
        <v>351</v>
      </c>
      <c r="F457" s="244" t="s">
        <v>353</v>
      </c>
      <c r="G457" s="359" t="s">
        <v>351</v>
      </c>
      <c r="H457" s="248" t="s">
        <v>353</v>
      </c>
      <c r="I457" s="249" t="s">
        <v>351</v>
      </c>
      <c r="J457" s="751"/>
      <c r="K457" s="753"/>
    </row>
    <row r="458" spans="1:11" ht="24" customHeight="1" thickBot="1">
      <c r="A458" s="94">
        <v>1</v>
      </c>
      <c r="B458" s="95" t="s">
        <v>125</v>
      </c>
      <c r="C458" s="98">
        <f>25+1</f>
        <v>26</v>
      </c>
      <c r="D458" s="514">
        <v>460</v>
      </c>
      <c r="E458" s="514">
        <f t="shared" ref="E458" si="173">D458-D458*0.2</f>
        <v>368</v>
      </c>
      <c r="F458" s="515">
        <f>D458+200</f>
        <v>660</v>
      </c>
      <c r="G458" s="516">
        <f t="shared" ref="G458" si="174">F458-F458*0.2</f>
        <v>528</v>
      </c>
      <c r="H458" s="516">
        <f>F458-D458</f>
        <v>200</v>
      </c>
      <c r="I458" s="516">
        <f>G458-E458</f>
        <v>160</v>
      </c>
      <c r="J458" s="138">
        <f>D458*C458</f>
        <v>11960</v>
      </c>
      <c r="K458" s="138">
        <f>F458*C458</f>
        <v>17160</v>
      </c>
    </row>
    <row r="459" spans="1:11" ht="18.75">
      <c r="J459" s="744">
        <f>K458-J458</f>
        <v>5200</v>
      </c>
      <c r="K459" s="744"/>
    </row>
    <row r="460" spans="1:11" ht="18.75">
      <c r="C460" s="198"/>
      <c r="D460" s="82"/>
      <c r="E460" s="82"/>
      <c r="F460" s="743" t="s">
        <v>357</v>
      </c>
      <c r="G460" s="743"/>
      <c r="H460" s="743"/>
      <c r="I460" s="743"/>
      <c r="J460" s="744">
        <f>J453+J459</f>
        <v>170450</v>
      </c>
      <c r="K460" s="744"/>
    </row>
    <row r="461" spans="1:11" ht="18.75">
      <c r="C461" s="198"/>
      <c r="D461" s="82"/>
      <c r="E461" s="82"/>
      <c r="F461" s="745" t="s">
        <v>358</v>
      </c>
      <c r="G461" s="745"/>
      <c r="H461" s="745"/>
      <c r="I461" s="745"/>
      <c r="J461" s="746">
        <f>J453*12+J459*6</f>
        <v>2014200</v>
      </c>
      <c r="K461" s="746"/>
    </row>
  </sheetData>
  <mergeCells count="59">
    <mergeCell ref="C275:K275"/>
    <mergeCell ref="C290:K290"/>
    <mergeCell ref="A437:A438"/>
    <mergeCell ref="C438:K438"/>
    <mergeCell ref="F453:I453"/>
    <mergeCell ref="J453:K453"/>
    <mergeCell ref="C305:K305"/>
    <mergeCell ref="C320:K320"/>
    <mergeCell ref="C335:K335"/>
    <mergeCell ref="C349:K349"/>
    <mergeCell ref="C364:K364"/>
    <mergeCell ref="C379:K379"/>
    <mergeCell ref="C393:K393"/>
    <mergeCell ref="C408:K408"/>
    <mergeCell ref="A422:A423"/>
    <mergeCell ref="C423:K423"/>
    <mergeCell ref="C128:K128"/>
    <mergeCell ref="C143:K143"/>
    <mergeCell ref="C158:K158"/>
    <mergeCell ref="C245:K245"/>
    <mergeCell ref="C260:K260"/>
    <mergeCell ref="C172:K172"/>
    <mergeCell ref="C187:K187"/>
    <mergeCell ref="C202:K202"/>
    <mergeCell ref="C217:K217"/>
    <mergeCell ref="C231:K231"/>
    <mergeCell ref="A22:A23"/>
    <mergeCell ref="C23:K23"/>
    <mergeCell ref="A37:A38"/>
    <mergeCell ref="C38:K38"/>
    <mergeCell ref="C113:K113"/>
    <mergeCell ref="A52:A53"/>
    <mergeCell ref="C53:K53"/>
    <mergeCell ref="C68:K68"/>
    <mergeCell ref="C83:K83"/>
    <mergeCell ref="C98:K98"/>
    <mergeCell ref="A1:K1"/>
    <mergeCell ref="A2:A3"/>
    <mergeCell ref="B2:B3"/>
    <mergeCell ref="C2:C3"/>
    <mergeCell ref="D2:E2"/>
    <mergeCell ref="F2:G2"/>
    <mergeCell ref="H2:I2"/>
    <mergeCell ref="J2:J3"/>
    <mergeCell ref="K2:K3"/>
    <mergeCell ref="F460:I460"/>
    <mergeCell ref="J460:K460"/>
    <mergeCell ref="F461:I461"/>
    <mergeCell ref="J461:K461"/>
    <mergeCell ref="A454:K454"/>
    <mergeCell ref="H456:I456"/>
    <mergeCell ref="J456:J457"/>
    <mergeCell ref="K456:K457"/>
    <mergeCell ref="J459:K459"/>
    <mergeCell ref="A456:A457"/>
    <mergeCell ref="B456:B457"/>
    <mergeCell ref="C456:C457"/>
    <mergeCell ref="D456:E456"/>
    <mergeCell ref="F456:G456"/>
  </mergeCells>
  <pageMargins left="0.7" right="0.7" top="0.75" bottom="0.75" header="0.3" footer="0.3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M131"/>
  <sheetViews>
    <sheetView topLeftCell="A97" workbookViewId="0">
      <selection activeCell="A111" sqref="A111:G111"/>
    </sheetView>
  </sheetViews>
  <sheetFormatPr defaultRowHeight="12.75"/>
  <cols>
    <col min="1" max="1" width="4.140625" style="100" customWidth="1"/>
    <col min="2" max="2" width="42.5703125" style="100" customWidth="1"/>
    <col min="3" max="3" width="9.140625" style="101" customWidth="1"/>
    <col min="4" max="4" width="12" style="203" customWidth="1"/>
    <col min="5" max="5" width="7.5703125" style="203" customWidth="1"/>
    <col min="6" max="7" width="7.5703125" style="100" customWidth="1"/>
    <col min="8" max="8" width="9.140625" style="411"/>
    <col min="9" max="9" width="11.7109375" style="100" customWidth="1"/>
    <col min="10" max="10" width="27.140625" style="100" customWidth="1"/>
    <col min="11" max="12" width="9.140625" style="100"/>
    <col min="13" max="13" width="10" style="100" bestFit="1" customWidth="1"/>
    <col min="14" max="224" width="9.140625" style="100"/>
    <col min="225" max="225" width="5.28515625" style="100" customWidth="1"/>
    <col min="226" max="226" width="56.5703125" style="100" customWidth="1"/>
    <col min="227" max="227" width="6.28515625" style="100" customWidth="1"/>
    <col min="228" max="228" width="9" style="100" customWidth="1"/>
    <col min="229" max="229" width="13.7109375" style="100" customWidth="1"/>
    <col min="230" max="230" width="12.28515625" style="100" customWidth="1"/>
    <col min="231" max="231" width="20.140625" style="100" customWidth="1"/>
    <col min="232" max="480" width="9.140625" style="100"/>
    <col min="481" max="481" width="5.28515625" style="100" customWidth="1"/>
    <col min="482" max="482" width="56.5703125" style="100" customWidth="1"/>
    <col min="483" max="483" width="6.28515625" style="100" customWidth="1"/>
    <col min="484" max="484" width="9" style="100" customWidth="1"/>
    <col min="485" max="485" width="13.7109375" style="100" customWidth="1"/>
    <col min="486" max="486" width="12.28515625" style="100" customWidth="1"/>
    <col min="487" max="487" width="20.140625" style="100" customWidth="1"/>
    <col min="488" max="736" width="9.140625" style="100"/>
    <col min="737" max="737" width="5.28515625" style="100" customWidth="1"/>
    <col min="738" max="738" width="56.5703125" style="100" customWidth="1"/>
    <col min="739" max="739" width="6.28515625" style="100" customWidth="1"/>
    <col min="740" max="740" width="9" style="100" customWidth="1"/>
    <col min="741" max="741" width="13.7109375" style="100" customWidth="1"/>
    <col min="742" max="742" width="12.28515625" style="100" customWidth="1"/>
    <col min="743" max="743" width="20.140625" style="100" customWidth="1"/>
    <col min="744" max="992" width="9.140625" style="100"/>
    <col min="993" max="993" width="5.28515625" style="100" customWidth="1"/>
    <col min="994" max="994" width="56.5703125" style="100" customWidth="1"/>
    <col min="995" max="995" width="6.28515625" style="100" customWidth="1"/>
    <col min="996" max="996" width="9" style="100" customWidth="1"/>
    <col min="997" max="997" width="13.7109375" style="100" customWidth="1"/>
    <col min="998" max="998" width="12.28515625" style="100" customWidth="1"/>
    <col min="999" max="999" width="20.140625" style="100" customWidth="1"/>
    <col min="1000" max="1248" width="9.140625" style="100"/>
    <col min="1249" max="1249" width="5.28515625" style="100" customWidth="1"/>
    <col min="1250" max="1250" width="56.5703125" style="100" customWidth="1"/>
    <col min="1251" max="1251" width="6.28515625" style="100" customWidth="1"/>
    <col min="1252" max="1252" width="9" style="100" customWidth="1"/>
    <col min="1253" max="1253" width="13.7109375" style="100" customWidth="1"/>
    <col min="1254" max="1254" width="12.28515625" style="100" customWidth="1"/>
    <col min="1255" max="1255" width="20.140625" style="100" customWidth="1"/>
    <col min="1256" max="1504" width="9.140625" style="100"/>
    <col min="1505" max="1505" width="5.28515625" style="100" customWidth="1"/>
    <col min="1506" max="1506" width="56.5703125" style="100" customWidth="1"/>
    <col min="1507" max="1507" width="6.28515625" style="100" customWidth="1"/>
    <col min="1508" max="1508" width="9" style="100" customWidth="1"/>
    <col min="1509" max="1509" width="13.7109375" style="100" customWidth="1"/>
    <col min="1510" max="1510" width="12.28515625" style="100" customWidth="1"/>
    <col min="1511" max="1511" width="20.140625" style="100" customWidth="1"/>
    <col min="1512" max="1760" width="9.140625" style="100"/>
    <col min="1761" max="1761" width="5.28515625" style="100" customWidth="1"/>
    <col min="1762" max="1762" width="56.5703125" style="100" customWidth="1"/>
    <col min="1763" max="1763" width="6.28515625" style="100" customWidth="1"/>
    <col min="1764" max="1764" width="9" style="100" customWidth="1"/>
    <col min="1765" max="1765" width="13.7109375" style="100" customWidth="1"/>
    <col min="1766" max="1766" width="12.28515625" style="100" customWidth="1"/>
    <col min="1767" max="1767" width="20.140625" style="100" customWidth="1"/>
    <col min="1768" max="2016" width="9.140625" style="100"/>
    <col min="2017" max="2017" width="5.28515625" style="100" customWidth="1"/>
    <col min="2018" max="2018" width="56.5703125" style="100" customWidth="1"/>
    <col min="2019" max="2019" width="6.28515625" style="100" customWidth="1"/>
    <col min="2020" max="2020" width="9" style="100" customWidth="1"/>
    <col min="2021" max="2021" width="13.7109375" style="100" customWidth="1"/>
    <col min="2022" max="2022" width="12.28515625" style="100" customWidth="1"/>
    <col min="2023" max="2023" width="20.140625" style="100" customWidth="1"/>
    <col min="2024" max="2272" width="9.140625" style="100"/>
    <col min="2273" max="2273" width="5.28515625" style="100" customWidth="1"/>
    <col min="2274" max="2274" width="56.5703125" style="100" customWidth="1"/>
    <col min="2275" max="2275" width="6.28515625" style="100" customWidth="1"/>
    <col min="2276" max="2276" width="9" style="100" customWidth="1"/>
    <col min="2277" max="2277" width="13.7109375" style="100" customWidth="1"/>
    <col min="2278" max="2278" width="12.28515625" style="100" customWidth="1"/>
    <col min="2279" max="2279" width="20.140625" style="100" customWidth="1"/>
    <col min="2280" max="2528" width="9.140625" style="100"/>
    <col min="2529" max="2529" width="5.28515625" style="100" customWidth="1"/>
    <col min="2530" max="2530" width="56.5703125" style="100" customWidth="1"/>
    <col min="2531" max="2531" width="6.28515625" style="100" customWidth="1"/>
    <col min="2532" max="2532" width="9" style="100" customWidth="1"/>
    <col min="2533" max="2533" width="13.7109375" style="100" customWidth="1"/>
    <col min="2534" max="2534" width="12.28515625" style="100" customWidth="1"/>
    <col min="2535" max="2535" width="20.140625" style="100" customWidth="1"/>
    <col min="2536" max="2784" width="9.140625" style="100"/>
    <col min="2785" max="2785" width="5.28515625" style="100" customWidth="1"/>
    <col min="2786" max="2786" width="56.5703125" style="100" customWidth="1"/>
    <col min="2787" max="2787" width="6.28515625" style="100" customWidth="1"/>
    <col min="2788" max="2788" width="9" style="100" customWidth="1"/>
    <col min="2789" max="2789" width="13.7109375" style="100" customWidth="1"/>
    <col min="2790" max="2790" width="12.28515625" style="100" customWidth="1"/>
    <col min="2791" max="2791" width="20.140625" style="100" customWidth="1"/>
    <col min="2792" max="3040" width="9.140625" style="100"/>
    <col min="3041" max="3041" width="5.28515625" style="100" customWidth="1"/>
    <col min="3042" max="3042" width="56.5703125" style="100" customWidth="1"/>
    <col min="3043" max="3043" width="6.28515625" style="100" customWidth="1"/>
    <col min="3044" max="3044" width="9" style="100" customWidth="1"/>
    <col min="3045" max="3045" width="13.7109375" style="100" customWidth="1"/>
    <col min="3046" max="3046" width="12.28515625" style="100" customWidth="1"/>
    <col min="3047" max="3047" width="20.140625" style="100" customWidth="1"/>
    <col min="3048" max="3296" width="9.140625" style="100"/>
    <col min="3297" max="3297" width="5.28515625" style="100" customWidth="1"/>
    <col min="3298" max="3298" width="56.5703125" style="100" customWidth="1"/>
    <col min="3299" max="3299" width="6.28515625" style="100" customWidth="1"/>
    <col min="3300" max="3300" width="9" style="100" customWidth="1"/>
    <col min="3301" max="3301" width="13.7109375" style="100" customWidth="1"/>
    <col min="3302" max="3302" width="12.28515625" style="100" customWidth="1"/>
    <col min="3303" max="3303" width="20.140625" style="100" customWidth="1"/>
    <col min="3304" max="3552" width="9.140625" style="100"/>
    <col min="3553" max="3553" width="5.28515625" style="100" customWidth="1"/>
    <col min="3554" max="3554" width="56.5703125" style="100" customWidth="1"/>
    <col min="3555" max="3555" width="6.28515625" style="100" customWidth="1"/>
    <col min="3556" max="3556" width="9" style="100" customWidth="1"/>
    <col min="3557" max="3557" width="13.7109375" style="100" customWidth="1"/>
    <col min="3558" max="3558" width="12.28515625" style="100" customWidth="1"/>
    <col min="3559" max="3559" width="20.140625" style="100" customWidth="1"/>
    <col min="3560" max="3808" width="9.140625" style="100"/>
    <col min="3809" max="3809" width="5.28515625" style="100" customWidth="1"/>
    <col min="3810" max="3810" width="56.5703125" style="100" customWidth="1"/>
    <col min="3811" max="3811" width="6.28515625" style="100" customWidth="1"/>
    <col min="3812" max="3812" width="9" style="100" customWidth="1"/>
    <col min="3813" max="3813" width="13.7109375" style="100" customWidth="1"/>
    <col min="3814" max="3814" width="12.28515625" style="100" customWidth="1"/>
    <col min="3815" max="3815" width="20.140625" style="100" customWidth="1"/>
    <col min="3816" max="4064" width="9.140625" style="100"/>
    <col min="4065" max="4065" width="5.28515625" style="100" customWidth="1"/>
    <col min="4066" max="4066" width="56.5703125" style="100" customWidth="1"/>
    <col min="4067" max="4067" width="6.28515625" style="100" customWidth="1"/>
    <col min="4068" max="4068" width="9" style="100" customWidth="1"/>
    <col min="4069" max="4069" width="13.7109375" style="100" customWidth="1"/>
    <col min="4070" max="4070" width="12.28515625" style="100" customWidth="1"/>
    <col min="4071" max="4071" width="20.140625" style="100" customWidth="1"/>
    <col min="4072" max="4320" width="9.140625" style="100"/>
    <col min="4321" max="4321" width="5.28515625" style="100" customWidth="1"/>
    <col min="4322" max="4322" width="56.5703125" style="100" customWidth="1"/>
    <col min="4323" max="4323" width="6.28515625" style="100" customWidth="1"/>
    <col min="4324" max="4324" width="9" style="100" customWidth="1"/>
    <col min="4325" max="4325" width="13.7109375" style="100" customWidth="1"/>
    <col min="4326" max="4326" width="12.28515625" style="100" customWidth="1"/>
    <col min="4327" max="4327" width="20.140625" style="100" customWidth="1"/>
    <col min="4328" max="4576" width="9.140625" style="100"/>
    <col min="4577" max="4577" width="5.28515625" style="100" customWidth="1"/>
    <col min="4578" max="4578" width="56.5703125" style="100" customWidth="1"/>
    <col min="4579" max="4579" width="6.28515625" style="100" customWidth="1"/>
    <col min="4580" max="4580" width="9" style="100" customWidth="1"/>
    <col min="4581" max="4581" width="13.7109375" style="100" customWidth="1"/>
    <col min="4582" max="4582" width="12.28515625" style="100" customWidth="1"/>
    <col min="4583" max="4583" width="20.140625" style="100" customWidth="1"/>
    <col min="4584" max="4832" width="9.140625" style="100"/>
    <col min="4833" max="4833" width="5.28515625" style="100" customWidth="1"/>
    <col min="4834" max="4834" width="56.5703125" style="100" customWidth="1"/>
    <col min="4835" max="4835" width="6.28515625" style="100" customWidth="1"/>
    <col min="4836" max="4836" width="9" style="100" customWidth="1"/>
    <col min="4837" max="4837" width="13.7109375" style="100" customWidth="1"/>
    <col min="4838" max="4838" width="12.28515625" style="100" customWidth="1"/>
    <col min="4839" max="4839" width="20.140625" style="100" customWidth="1"/>
    <col min="4840" max="5088" width="9.140625" style="100"/>
    <col min="5089" max="5089" width="5.28515625" style="100" customWidth="1"/>
    <col min="5090" max="5090" width="56.5703125" style="100" customWidth="1"/>
    <col min="5091" max="5091" width="6.28515625" style="100" customWidth="1"/>
    <col min="5092" max="5092" width="9" style="100" customWidth="1"/>
    <col min="5093" max="5093" width="13.7109375" style="100" customWidth="1"/>
    <col min="5094" max="5094" width="12.28515625" style="100" customWidth="1"/>
    <col min="5095" max="5095" width="20.140625" style="100" customWidth="1"/>
    <col min="5096" max="5344" width="9.140625" style="100"/>
    <col min="5345" max="5345" width="5.28515625" style="100" customWidth="1"/>
    <col min="5346" max="5346" width="56.5703125" style="100" customWidth="1"/>
    <col min="5347" max="5347" width="6.28515625" style="100" customWidth="1"/>
    <col min="5348" max="5348" width="9" style="100" customWidth="1"/>
    <col min="5349" max="5349" width="13.7109375" style="100" customWidth="1"/>
    <col min="5350" max="5350" width="12.28515625" style="100" customWidth="1"/>
    <col min="5351" max="5351" width="20.140625" style="100" customWidth="1"/>
    <col min="5352" max="5600" width="9.140625" style="100"/>
    <col min="5601" max="5601" width="5.28515625" style="100" customWidth="1"/>
    <col min="5602" max="5602" width="56.5703125" style="100" customWidth="1"/>
    <col min="5603" max="5603" width="6.28515625" style="100" customWidth="1"/>
    <col min="5604" max="5604" width="9" style="100" customWidth="1"/>
    <col min="5605" max="5605" width="13.7109375" style="100" customWidth="1"/>
    <col min="5606" max="5606" width="12.28515625" style="100" customWidth="1"/>
    <col min="5607" max="5607" width="20.140625" style="100" customWidth="1"/>
    <col min="5608" max="5856" width="9.140625" style="100"/>
    <col min="5857" max="5857" width="5.28515625" style="100" customWidth="1"/>
    <col min="5858" max="5858" width="56.5703125" style="100" customWidth="1"/>
    <col min="5859" max="5859" width="6.28515625" style="100" customWidth="1"/>
    <col min="5860" max="5860" width="9" style="100" customWidth="1"/>
    <col min="5861" max="5861" width="13.7109375" style="100" customWidth="1"/>
    <col min="5862" max="5862" width="12.28515625" style="100" customWidth="1"/>
    <col min="5863" max="5863" width="20.140625" style="100" customWidth="1"/>
    <col min="5864" max="6112" width="9.140625" style="100"/>
    <col min="6113" max="6113" width="5.28515625" style="100" customWidth="1"/>
    <col min="6114" max="6114" width="56.5703125" style="100" customWidth="1"/>
    <col min="6115" max="6115" width="6.28515625" style="100" customWidth="1"/>
    <col min="6116" max="6116" width="9" style="100" customWidth="1"/>
    <col min="6117" max="6117" width="13.7109375" style="100" customWidth="1"/>
    <col min="6118" max="6118" width="12.28515625" style="100" customWidth="1"/>
    <col min="6119" max="6119" width="20.140625" style="100" customWidth="1"/>
    <col min="6120" max="6368" width="9.140625" style="100"/>
    <col min="6369" max="6369" width="5.28515625" style="100" customWidth="1"/>
    <col min="6370" max="6370" width="56.5703125" style="100" customWidth="1"/>
    <col min="6371" max="6371" width="6.28515625" style="100" customWidth="1"/>
    <col min="6372" max="6372" width="9" style="100" customWidth="1"/>
    <col min="6373" max="6373" width="13.7109375" style="100" customWidth="1"/>
    <col min="6374" max="6374" width="12.28515625" style="100" customWidth="1"/>
    <col min="6375" max="6375" width="20.140625" style="100" customWidth="1"/>
    <col min="6376" max="6624" width="9.140625" style="100"/>
    <col min="6625" max="6625" width="5.28515625" style="100" customWidth="1"/>
    <col min="6626" max="6626" width="56.5703125" style="100" customWidth="1"/>
    <col min="6627" max="6627" width="6.28515625" style="100" customWidth="1"/>
    <col min="6628" max="6628" width="9" style="100" customWidth="1"/>
    <col min="6629" max="6629" width="13.7109375" style="100" customWidth="1"/>
    <col min="6630" max="6630" width="12.28515625" style="100" customWidth="1"/>
    <col min="6631" max="6631" width="20.140625" style="100" customWidth="1"/>
    <col min="6632" max="6880" width="9.140625" style="100"/>
    <col min="6881" max="6881" width="5.28515625" style="100" customWidth="1"/>
    <col min="6882" max="6882" width="56.5703125" style="100" customWidth="1"/>
    <col min="6883" max="6883" width="6.28515625" style="100" customWidth="1"/>
    <col min="6884" max="6884" width="9" style="100" customWidth="1"/>
    <col min="6885" max="6885" width="13.7109375" style="100" customWidth="1"/>
    <col min="6886" max="6886" width="12.28515625" style="100" customWidth="1"/>
    <col min="6887" max="6887" width="20.140625" style="100" customWidth="1"/>
    <col min="6888" max="7136" width="9.140625" style="100"/>
    <col min="7137" max="7137" width="5.28515625" style="100" customWidth="1"/>
    <col min="7138" max="7138" width="56.5703125" style="100" customWidth="1"/>
    <col min="7139" max="7139" width="6.28515625" style="100" customWidth="1"/>
    <col min="7140" max="7140" width="9" style="100" customWidth="1"/>
    <col min="7141" max="7141" width="13.7109375" style="100" customWidth="1"/>
    <col min="7142" max="7142" width="12.28515625" style="100" customWidth="1"/>
    <col min="7143" max="7143" width="20.140625" style="100" customWidth="1"/>
    <col min="7144" max="7392" width="9.140625" style="100"/>
    <col min="7393" max="7393" width="5.28515625" style="100" customWidth="1"/>
    <col min="7394" max="7394" width="56.5703125" style="100" customWidth="1"/>
    <col min="7395" max="7395" width="6.28515625" style="100" customWidth="1"/>
    <col min="7396" max="7396" width="9" style="100" customWidth="1"/>
    <col min="7397" max="7397" width="13.7109375" style="100" customWidth="1"/>
    <col min="7398" max="7398" width="12.28515625" style="100" customWidth="1"/>
    <col min="7399" max="7399" width="20.140625" style="100" customWidth="1"/>
    <col min="7400" max="7648" width="9.140625" style="100"/>
    <col min="7649" max="7649" width="5.28515625" style="100" customWidth="1"/>
    <col min="7650" max="7650" width="56.5703125" style="100" customWidth="1"/>
    <col min="7651" max="7651" width="6.28515625" style="100" customWidth="1"/>
    <col min="7652" max="7652" width="9" style="100" customWidth="1"/>
    <col min="7653" max="7653" width="13.7109375" style="100" customWidth="1"/>
    <col min="7654" max="7654" width="12.28515625" style="100" customWidth="1"/>
    <col min="7655" max="7655" width="20.140625" style="100" customWidth="1"/>
    <col min="7656" max="7904" width="9.140625" style="100"/>
    <col min="7905" max="7905" width="5.28515625" style="100" customWidth="1"/>
    <col min="7906" max="7906" width="56.5703125" style="100" customWidth="1"/>
    <col min="7907" max="7907" width="6.28515625" style="100" customWidth="1"/>
    <col min="7908" max="7908" width="9" style="100" customWidth="1"/>
    <col min="7909" max="7909" width="13.7109375" style="100" customWidth="1"/>
    <col min="7910" max="7910" width="12.28515625" style="100" customWidth="1"/>
    <col min="7911" max="7911" width="20.140625" style="100" customWidth="1"/>
    <col min="7912" max="8160" width="9.140625" style="100"/>
    <col min="8161" max="8161" width="5.28515625" style="100" customWidth="1"/>
    <col min="8162" max="8162" width="56.5703125" style="100" customWidth="1"/>
    <col min="8163" max="8163" width="6.28515625" style="100" customWidth="1"/>
    <col min="8164" max="8164" width="9" style="100" customWidth="1"/>
    <col min="8165" max="8165" width="13.7109375" style="100" customWidth="1"/>
    <col min="8166" max="8166" width="12.28515625" style="100" customWidth="1"/>
    <col min="8167" max="8167" width="20.140625" style="100" customWidth="1"/>
    <col min="8168" max="8416" width="9.140625" style="100"/>
    <col min="8417" max="8417" width="5.28515625" style="100" customWidth="1"/>
    <col min="8418" max="8418" width="56.5703125" style="100" customWidth="1"/>
    <col min="8419" max="8419" width="6.28515625" style="100" customWidth="1"/>
    <col min="8420" max="8420" width="9" style="100" customWidth="1"/>
    <col min="8421" max="8421" width="13.7109375" style="100" customWidth="1"/>
    <col min="8422" max="8422" width="12.28515625" style="100" customWidth="1"/>
    <col min="8423" max="8423" width="20.140625" style="100" customWidth="1"/>
    <col min="8424" max="8672" width="9.140625" style="100"/>
    <col min="8673" max="8673" width="5.28515625" style="100" customWidth="1"/>
    <col min="8674" max="8674" width="56.5703125" style="100" customWidth="1"/>
    <col min="8675" max="8675" width="6.28515625" style="100" customWidth="1"/>
    <col min="8676" max="8676" width="9" style="100" customWidth="1"/>
    <col min="8677" max="8677" width="13.7109375" style="100" customWidth="1"/>
    <col min="8678" max="8678" width="12.28515625" style="100" customWidth="1"/>
    <col min="8679" max="8679" width="20.140625" style="100" customWidth="1"/>
    <col min="8680" max="8928" width="9.140625" style="100"/>
    <col min="8929" max="8929" width="5.28515625" style="100" customWidth="1"/>
    <col min="8930" max="8930" width="56.5703125" style="100" customWidth="1"/>
    <col min="8931" max="8931" width="6.28515625" style="100" customWidth="1"/>
    <col min="8932" max="8932" width="9" style="100" customWidth="1"/>
    <col min="8933" max="8933" width="13.7109375" style="100" customWidth="1"/>
    <col min="8934" max="8934" width="12.28515625" style="100" customWidth="1"/>
    <col min="8935" max="8935" width="20.140625" style="100" customWidth="1"/>
    <col min="8936" max="9184" width="9.140625" style="100"/>
    <col min="9185" max="9185" width="5.28515625" style="100" customWidth="1"/>
    <col min="9186" max="9186" width="56.5703125" style="100" customWidth="1"/>
    <col min="9187" max="9187" width="6.28515625" style="100" customWidth="1"/>
    <col min="9188" max="9188" width="9" style="100" customWidth="1"/>
    <col min="9189" max="9189" width="13.7109375" style="100" customWidth="1"/>
    <col min="9190" max="9190" width="12.28515625" style="100" customWidth="1"/>
    <col min="9191" max="9191" width="20.140625" style="100" customWidth="1"/>
    <col min="9192" max="9440" width="9.140625" style="100"/>
    <col min="9441" max="9441" width="5.28515625" style="100" customWidth="1"/>
    <col min="9442" max="9442" width="56.5703125" style="100" customWidth="1"/>
    <col min="9443" max="9443" width="6.28515625" style="100" customWidth="1"/>
    <col min="9444" max="9444" width="9" style="100" customWidth="1"/>
    <col min="9445" max="9445" width="13.7109375" style="100" customWidth="1"/>
    <col min="9446" max="9446" width="12.28515625" style="100" customWidth="1"/>
    <col min="9447" max="9447" width="20.140625" style="100" customWidth="1"/>
    <col min="9448" max="9696" width="9.140625" style="100"/>
    <col min="9697" max="9697" width="5.28515625" style="100" customWidth="1"/>
    <col min="9698" max="9698" width="56.5703125" style="100" customWidth="1"/>
    <col min="9699" max="9699" width="6.28515625" style="100" customWidth="1"/>
    <col min="9700" max="9700" width="9" style="100" customWidth="1"/>
    <col min="9701" max="9701" width="13.7109375" style="100" customWidth="1"/>
    <col min="9702" max="9702" width="12.28515625" style="100" customWidth="1"/>
    <col min="9703" max="9703" width="20.140625" style="100" customWidth="1"/>
    <col min="9704" max="9952" width="9.140625" style="100"/>
    <col min="9953" max="9953" width="5.28515625" style="100" customWidth="1"/>
    <col min="9954" max="9954" width="56.5703125" style="100" customWidth="1"/>
    <col min="9955" max="9955" width="6.28515625" style="100" customWidth="1"/>
    <col min="9956" max="9956" width="9" style="100" customWidth="1"/>
    <col min="9957" max="9957" width="13.7109375" style="100" customWidth="1"/>
    <col min="9958" max="9958" width="12.28515625" style="100" customWidth="1"/>
    <col min="9959" max="9959" width="20.140625" style="100" customWidth="1"/>
    <col min="9960" max="10208" width="9.140625" style="100"/>
    <col min="10209" max="10209" width="5.28515625" style="100" customWidth="1"/>
    <col min="10210" max="10210" width="56.5703125" style="100" customWidth="1"/>
    <col min="10211" max="10211" width="6.28515625" style="100" customWidth="1"/>
    <col min="10212" max="10212" width="9" style="100" customWidth="1"/>
    <col min="10213" max="10213" width="13.7109375" style="100" customWidth="1"/>
    <col min="10214" max="10214" width="12.28515625" style="100" customWidth="1"/>
    <col min="10215" max="10215" width="20.140625" style="100" customWidth="1"/>
    <col min="10216" max="10464" width="9.140625" style="100"/>
    <col min="10465" max="10465" width="5.28515625" style="100" customWidth="1"/>
    <col min="10466" max="10466" width="56.5703125" style="100" customWidth="1"/>
    <col min="10467" max="10467" width="6.28515625" style="100" customWidth="1"/>
    <col min="10468" max="10468" width="9" style="100" customWidth="1"/>
    <col min="10469" max="10469" width="13.7109375" style="100" customWidth="1"/>
    <col min="10470" max="10470" width="12.28515625" style="100" customWidth="1"/>
    <col min="10471" max="10471" width="20.140625" style="100" customWidth="1"/>
    <col min="10472" max="10720" width="9.140625" style="100"/>
    <col min="10721" max="10721" width="5.28515625" style="100" customWidth="1"/>
    <col min="10722" max="10722" width="56.5703125" style="100" customWidth="1"/>
    <col min="10723" max="10723" width="6.28515625" style="100" customWidth="1"/>
    <col min="10724" max="10724" width="9" style="100" customWidth="1"/>
    <col min="10725" max="10725" width="13.7109375" style="100" customWidth="1"/>
    <col min="10726" max="10726" width="12.28515625" style="100" customWidth="1"/>
    <col min="10727" max="10727" width="20.140625" style="100" customWidth="1"/>
    <col min="10728" max="10976" width="9.140625" style="100"/>
    <col min="10977" max="10977" width="5.28515625" style="100" customWidth="1"/>
    <col min="10978" max="10978" width="56.5703125" style="100" customWidth="1"/>
    <col min="10979" max="10979" width="6.28515625" style="100" customWidth="1"/>
    <col min="10980" max="10980" width="9" style="100" customWidth="1"/>
    <col min="10981" max="10981" width="13.7109375" style="100" customWidth="1"/>
    <col min="10982" max="10982" width="12.28515625" style="100" customWidth="1"/>
    <col min="10983" max="10983" width="20.140625" style="100" customWidth="1"/>
    <col min="10984" max="11232" width="9.140625" style="100"/>
    <col min="11233" max="11233" width="5.28515625" style="100" customWidth="1"/>
    <col min="11234" max="11234" width="56.5703125" style="100" customWidth="1"/>
    <col min="11235" max="11235" width="6.28515625" style="100" customWidth="1"/>
    <col min="11236" max="11236" width="9" style="100" customWidth="1"/>
    <col min="11237" max="11237" width="13.7109375" style="100" customWidth="1"/>
    <col min="11238" max="11238" width="12.28515625" style="100" customWidth="1"/>
    <col min="11239" max="11239" width="20.140625" style="100" customWidth="1"/>
    <col min="11240" max="11488" width="9.140625" style="100"/>
    <col min="11489" max="11489" width="5.28515625" style="100" customWidth="1"/>
    <col min="11490" max="11490" width="56.5703125" style="100" customWidth="1"/>
    <col min="11491" max="11491" width="6.28515625" style="100" customWidth="1"/>
    <col min="11492" max="11492" width="9" style="100" customWidth="1"/>
    <col min="11493" max="11493" width="13.7109375" style="100" customWidth="1"/>
    <col min="11494" max="11494" width="12.28515625" style="100" customWidth="1"/>
    <col min="11495" max="11495" width="20.140625" style="100" customWidth="1"/>
    <col min="11496" max="11744" width="9.140625" style="100"/>
    <col min="11745" max="11745" width="5.28515625" style="100" customWidth="1"/>
    <col min="11746" max="11746" width="56.5703125" style="100" customWidth="1"/>
    <col min="11747" max="11747" width="6.28515625" style="100" customWidth="1"/>
    <col min="11748" max="11748" width="9" style="100" customWidth="1"/>
    <col min="11749" max="11749" width="13.7109375" style="100" customWidth="1"/>
    <col min="11750" max="11750" width="12.28515625" style="100" customWidth="1"/>
    <col min="11751" max="11751" width="20.140625" style="100" customWidth="1"/>
    <col min="11752" max="12000" width="9.140625" style="100"/>
    <col min="12001" max="12001" width="5.28515625" style="100" customWidth="1"/>
    <col min="12002" max="12002" width="56.5703125" style="100" customWidth="1"/>
    <col min="12003" max="12003" width="6.28515625" style="100" customWidth="1"/>
    <col min="12004" max="12004" width="9" style="100" customWidth="1"/>
    <col min="12005" max="12005" width="13.7109375" style="100" customWidth="1"/>
    <col min="12006" max="12006" width="12.28515625" style="100" customWidth="1"/>
    <col min="12007" max="12007" width="20.140625" style="100" customWidth="1"/>
    <col min="12008" max="12256" width="9.140625" style="100"/>
    <col min="12257" max="12257" width="5.28515625" style="100" customWidth="1"/>
    <col min="12258" max="12258" width="56.5703125" style="100" customWidth="1"/>
    <col min="12259" max="12259" width="6.28515625" style="100" customWidth="1"/>
    <col min="12260" max="12260" width="9" style="100" customWidth="1"/>
    <col min="12261" max="12261" width="13.7109375" style="100" customWidth="1"/>
    <col min="12262" max="12262" width="12.28515625" style="100" customWidth="1"/>
    <col min="12263" max="12263" width="20.140625" style="100" customWidth="1"/>
    <col min="12264" max="12512" width="9.140625" style="100"/>
    <col min="12513" max="12513" width="5.28515625" style="100" customWidth="1"/>
    <col min="12514" max="12514" width="56.5703125" style="100" customWidth="1"/>
    <col min="12515" max="12515" width="6.28515625" style="100" customWidth="1"/>
    <col min="12516" max="12516" width="9" style="100" customWidth="1"/>
    <col min="12517" max="12517" width="13.7109375" style="100" customWidth="1"/>
    <col min="12518" max="12518" width="12.28515625" style="100" customWidth="1"/>
    <col min="12519" max="12519" width="20.140625" style="100" customWidth="1"/>
    <col min="12520" max="12768" width="9.140625" style="100"/>
    <col min="12769" max="12769" width="5.28515625" style="100" customWidth="1"/>
    <col min="12770" max="12770" width="56.5703125" style="100" customWidth="1"/>
    <col min="12771" max="12771" width="6.28515625" style="100" customWidth="1"/>
    <col min="12772" max="12772" width="9" style="100" customWidth="1"/>
    <col min="12773" max="12773" width="13.7109375" style="100" customWidth="1"/>
    <col min="12774" max="12774" width="12.28515625" style="100" customWidth="1"/>
    <col min="12775" max="12775" width="20.140625" style="100" customWidth="1"/>
    <col min="12776" max="13024" width="9.140625" style="100"/>
    <col min="13025" max="13025" width="5.28515625" style="100" customWidth="1"/>
    <col min="13026" max="13026" width="56.5703125" style="100" customWidth="1"/>
    <col min="13027" max="13027" width="6.28515625" style="100" customWidth="1"/>
    <col min="13028" max="13028" width="9" style="100" customWidth="1"/>
    <col min="13029" max="13029" width="13.7109375" style="100" customWidth="1"/>
    <col min="13030" max="13030" width="12.28515625" style="100" customWidth="1"/>
    <col min="13031" max="13031" width="20.140625" style="100" customWidth="1"/>
    <col min="13032" max="13280" width="9.140625" style="100"/>
    <col min="13281" max="13281" width="5.28515625" style="100" customWidth="1"/>
    <col min="13282" max="13282" width="56.5703125" style="100" customWidth="1"/>
    <col min="13283" max="13283" width="6.28515625" style="100" customWidth="1"/>
    <col min="13284" max="13284" width="9" style="100" customWidth="1"/>
    <col min="13285" max="13285" width="13.7109375" style="100" customWidth="1"/>
    <col min="13286" max="13286" width="12.28515625" style="100" customWidth="1"/>
    <col min="13287" max="13287" width="20.140625" style="100" customWidth="1"/>
    <col min="13288" max="13536" width="9.140625" style="100"/>
    <col min="13537" max="13537" width="5.28515625" style="100" customWidth="1"/>
    <col min="13538" max="13538" width="56.5703125" style="100" customWidth="1"/>
    <col min="13539" max="13539" width="6.28515625" style="100" customWidth="1"/>
    <col min="13540" max="13540" width="9" style="100" customWidth="1"/>
    <col min="13541" max="13541" width="13.7109375" style="100" customWidth="1"/>
    <col min="13542" max="13542" width="12.28515625" style="100" customWidth="1"/>
    <col min="13543" max="13543" width="20.140625" style="100" customWidth="1"/>
    <col min="13544" max="13792" width="9.140625" style="100"/>
    <col min="13793" max="13793" width="5.28515625" style="100" customWidth="1"/>
    <col min="13794" max="13794" width="56.5703125" style="100" customWidth="1"/>
    <col min="13795" max="13795" width="6.28515625" style="100" customWidth="1"/>
    <col min="13796" max="13796" width="9" style="100" customWidth="1"/>
    <col min="13797" max="13797" width="13.7109375" style="100" customWidth="1"/>
    <col min="13798" max="13798" width="12.28515625" style="100" customWidth="1"/>
    <col min="13799" max="13799" width="20.140625" style="100" customWidth="1"/>
    <col min="13800" max="14048" width="9.140625" style="100"/>
    <col min="14049" max="14049" width="5.28515625" style="100" customWidth="1"/>
    <col min="14050" max="14050" width="56.5703125" style="100" customWidth="1"/>
    <col min="14051" max="14051" width="6.28515625" style="100" customWidth="1"/>
    <col min="14052" max="14052" width="9" style="100" customWidth="1"/>
    <col min="14053" max="14053" width="13.7109375" style="100" customWidth="1"/>
    <col min="14054" max="14054" width="12.28515625" style="100" customWidth="1"/>
    <col min="14055" max="14055" width="20.140625" style="100" customWidth="1"/>
    <col min="14056" max="14304" width="9.140625" style="100"/>
    <col min="14305" max="14305" width="5.28515625" style="100" customWidth="1"/>
    <col min="14306" max="14306" width="56.5703125" style="100" customWidth="1"/>
    <col min="14307" max="14307" width="6.28515625" style="100" customWidth="1"/>
    <col min="14308" max="14308" width="9" style="100" customWidth="1"/>
    <col min="14309" max="14309" width="13.7109375" style="100" customWidth="1"/>
    <col min="14310" max="14310" width="12.28515625" style="100" customWidth="1"/>
    <col min="14311" max="14311" width="20.140625" style="100" customWidth="1"/>
    <col min="14312" max="14560" width="9.140625" style="100"/>
    <col min="14561" max="14561" width="5.28515625" style="100" customWidth="1"/>
    <col min="14562" max="14562" width="56.5703125" style="100" customWidth="1"/>
    <col min="14563" max="14563" width="6.28515625" style="100" customWidth="1"/>
    <col min="14564" max="14564" width="9" style="100" customWidth="1"/>
    <col min="14565" max="14565" width="13.7109375" style="100" customWidth="1"/>
    <col min="14566" max="14566" width="12.28515625" style="100" customWidth="1"/>
    <col min="14567" max="14567" width="20.140625" style="100" customWidth="1"/>
    <col min="14568" max="14816" width="9.140625" style="100"/>
    <col min="14817" max="14817" width="5.28515625" style="100" customWidth="1"/>
    <col min="14818" max="14818" width="56.5703125" style="100" customWidth="1"/>
    <col min="14819" max="14819" width="6.28515625" style="100" customWidth="1"/>
    <col min="14820" max="14820" width="9" style="100" customWidth="1"/>
    <col min="14821" max="14821" width="13.7109375" style="100" customWidth="1"/>
    <col min="14822" max="14822" width="12.28515625" style="100" customWidth="1"/>
    <col min="14823" max="14823" width="20.140625" style="100" customWidth="1"/>
    <col min="14824" max="15072" width="9.140625" style="100"/>
    <col min="15073" max="15073" width="5.28515625" style="100" customWidth="1"/>
    <col min="15074" max="15074" width="56.5703125" style="100" customWidth="1"/>
    <col min="15075" max="15075" width="6.28515625" style="100" customWidth="1"/>
    <col min="15076" max="15076" width="9" style="100" customWidth="1"/>
    <col min="15077" max="15077" width="13.7109375" style="100" customWidth="1"/>
    <col min="15078" max="15078" width="12.28515625" style="100" customWidth="1"/>
    <col min="15079" max="15079" width="20.140625" style="100" customWidth="1"/>
    <col min="15080" max="15328" width="9.140625" style="100"/>
    <col min="15329" max="15329" width="5.28515625" style="100" customWidth="1"/>
    <col min="15330" max="15330" width="56.5703125" style="100" customWidth="1"/>
    <col min="15331" max="15331" width="6.28515625" style="100" customWidth="1"/>
    <col min="15332" max="15332" width="9" style="100" customWidth="1"/>
    <col min="15333" max="15333" width="13.7109375" style="100" customWidth="1"/>
    <col min="15334" max="15334" width="12.28515625" style="100" customWidth="1"/>
    <col min="15335" max="15335" width="20.140625" style="100" customWidth="1"/>
    <col min="15336" max="15584" width="9.140625" style="100"/>
    <col min="15585" max="15585" width="5.28515625" style="100" customWidth="1"/>
    <col min="15586" max="15586" width="56.5703125" style="100" customWidth="1"/>
    <col min="15587" max="15587" width="6.28515625" style="100" customWidth="1"/>
    <col min="15588" max="15588" width="9" style="100" customWidth="1"/>
    <col min="15589" max="15589" width="13.7109375" style="100" customWidth="1"/>
    <col min="15590" max="15590" width="12.28515625" style="100" customWidth="1"/>
    <col min="15591" max="15591" width="20.140625" style="100" customWidth="1"/>
    <col min="15592" max="15840" width="9.140625" style="100"/>
    <col min="15841" max="15841" width="5.28515625" style="100" customWidth="1"/>
    <col min="15842" max="15842" width="56.5703125" style="100" customWidth="1"/>
    <col min="15843" max="15843" width="6.28515625" style="100" customWidth="1"/>
    <col min="15844" max="15844" width="9" style="100" customWidth="1"/>
    <col min="15845" max="15845" width="13.7109375" style="100" customWidth="1"/>
    <col min="15846" max="15846" width="12.28515625" style="100" customWidth="1"/>
    <col min="15847" max="15847" width="20.140625" style="100" customWidth="1"/>
    <col min="15848" max="16096" width="9.140625" style="100"/>
    <col min="16097" max="16097" width="5.28515625" style="100" customWidth="1"/>
    <col min="16098" max="16098" width="56.5703125" style="100" customWidth="1"/>
    <col min="16099" max="16099" width="6.28515625" style="100" customWidth="1"/>
    <col min="16100" max="16100" width="9" style="100" customWidth="1"/>
    <col min="16101" max="16101" width="13.7109375" style="100" customWidth="1"/>
    <col min="16102" max="16102" width="12.28515625" style="100" customWidth="1"/>
    <col min="16103" max="16103" width="20.140625" style="100" customWidth="1"/>
    <col min="16104" max="16384" width="9.140625" style="100"/>
  </cols>
  <sheetData>
    <row r="1" spans="1:8" s="99" customFormat="1" ht="15">
      <c r="A1" s="804" t="s">
        <v>200</v>
      </c>
      <c r="B1" s="804"/>
      <c r="C1" s="804"/>
      <c r="D1" s="804"/>
      <c r="E1" s="804"/>
      <c r="F1" s="804"/>
      <c r="G1" s="804"/>
      <c r="H1" s="410"/>
    </row>
    <row r="2" spans="1:8" ht="13.5" thickBot="1">
      <c r="A2" s="805"/>
      <c r="B2" s="805"/>
      <c r="C2" s="805"/>
      <c r="D2" s="805"/>
      <c r="E2" s="805"/>
      <c r="F2" s="805"/>
      <c r="G2" s="805"/>
    </row>
    <row r="3" spans="1:8" s="99" customFormat="1" ht="15.75" customHeight="1" thickBot="1">
      <c r="A3" s="806" t="s">
        <v>0</v>
      </c>
      <c r="B3" s="808" t="s">
        <v>70</v>
      </c>
      <c r="C3" s="810" t="s">
        <v>354</v>
      </c>
      <c r="D3" s="519" t="s">
        <v>350</v>
      </c>
      <c r="E3" s="519" t="s">
        <v>352</v>
      </c>
      <c r="F3" s="781" t="s">
        <v>359</v>
      </c>
      <c r="G3" s="783" t="s">
        <v>356</v>
      </c>
      <c r="H3" s="410"/>
    </row>
    <row r="4" spans="1:8" s="99" customFormat="1" ht="45.75" thickBot="1">
      <c r="A4" s="807"/>
      <c r="B4" s="809"/>
      <c r="C4" s="811"/>
      <c r="D4" s="252" t="s">
        <v>353</v>
      </c>
      <c r="E4" s="252" t="s">
        <v>353</v>
      </c>
      <c r="F4" s="782"/>
      <c r="G4" s="784"/>
      <c r="H4" s="410"/>
    </row>
    <row r="5" spans="1:8" s="99" customFormat="1" ht="15.75" thickBot="1">
      <c r="A5" s="792" t="s">
        <v>35</v>
      </c>
      <c r="B5" s="793"/>
      <c r="C5" s="793"/>
      <c r="D5" s="793"/>
      <c r="E5" s="793"/>
      <c r="F5" s="793"/>
      <c r="G5" s="794"/>
      <c r="H5" s="410"/>
    </row>
    <row r="6" spans="1:8" ht="15">
      <c r="A6" s="271">
        <v>1</v>
      </c>
      <c r="B6" s="272" t="s">
        <v>26</v>
      </c>
      <c r="C6" s="273">
        <v>1</v>
      </c>
      <c r="D6" s="274">
        <v>1540</v>
      </c>
      <c r="E6" s="275">
        <f>D6*10%+D6+6</f>
        <v>1700</v>
      </c>
      <c r="F6" s="251">
        <f>D6*C6</f>
        <v>1540</v>
      </c>
      <c r="G6" s="250">
        <f t="shared" ref="G6:G29" si="0">E6*C6</f>
        <v>1700</v>
      </c>
      <c r="H6" s="411">
        <f t="shared" ref="H6:H20" si="1">E6/D6%</f>
        <v>110.38961038961038</v>
      </c>
    </row>
    <row r="7" spans="1:8" ht="15">
      <c r="A7" s="102">
        <v>2</v>
      </c>
      <c r="B7" s="232" t="s">
        <v>15</v>
      </c>
      <c r="C7" s="254">
        <v>1</v>
      </c>
      <c r="D7" s="256">
        <v>1100</v>
      </c>
      <c r="E7" s="246">
        <v>1225</v>
      </c>
      <c r="F7" s="251">
        <f>D7*C7</f>
        <v>1100</v>
      </c>
      <c r="G7" s="250">
        <f t="shared" si="0"/>
        <v>1225</v>
      </c>
      <c r="H7" s="411">
        <f t="shared" si="1"/>
        <v>111.36363636363636</v>
      </c>
    </row>
    <row r="8" spans="1:8" ht="15">
      <c r="A8" s="102">
        <v>3</v>
      </c>
      <c r="B8" s="232" t="s">
        <v>5</v>
      </c>
      <c r="C8" s="254">
        <v>1</v>
      </c>
      <c r="D8" s="256">
        <v>920</v>
      </c>
      <c r="E8" s="246">
        <f>D8+125</f>
        <v>1045</v>
      </c>
      <c r="F8" s="251">
        <f>D8*C8</f>
        <v>920</v>
      </c>
      <c r="G8" s="250">
        <f t="shared" si="0"/>
        <v>1045</v>
      </c>
      <c r="H8" s="411">
        <f t="shared" si="1"/>
        <v>113.58695652173914</v>
      </c>
    </row>
    <row r="9" spans="1:8" ht="14.25">
      <c r="A9" s="102">
        <v>4</v>
      </c>
      <c r="B9" s="214" t="s">
        <v>16</v>
      </c>
      <c r="C9" s="255">
        <v>1</v>
      </c>
      <c r="D9" s="257">
        <v>880</v>
      </c>
      <c r="E9" s="247">
        <f>D9+125</f>
        <v>1005</v>
      </c>
      <c r="F9" s="258">
        <f>D9*C9</f>
        <v>880</v>
      </c>
      <c r="G9" s="259">
        <f t="shared" si="0"/>
        <v>1005</v>
      </c>
      <c r="H9" s="411">
        <f t="shared" si="1"/>
        <v>114.20454545454544</v>
      </c>
    </row>
    <row r="10" spans="1:8" ht="14.25">
      <c r="A10" s="102">
        <v>5</v>
      </c>
      <c r="B10" s="214" t="s">
        <v>129</v>
      </c>
      <c r="C10" s="255">
        <v>1</v>
      </c>
      <c r="D10" s="257">
        <v>830</v>
      </c>
      <c r="E10" s="247">
        <f t="shared" ref="E10:E29" si="2">D10+125</f>
        <v>955</v>
      </c>
      <c r="F10" s="258">
        <f t="shared" ref="F10:F29" si="3">D10*C10</f>
        <v>830</v>
      </c>
      <c r="G10" s="259">
        <f t="shared" si="0"/>
        <v>955</v>
      </c>
      <c r="H10" s="411">
        <f t="shared" si="1"/>
        <v>115.06024096385541</v>
      </c>
    </row>
    <row r="11" spans="1:8" ht="14.25">
      <c r="A11" s="102">
        <v>6</v>
      </c>
      <c r="B11" s="214" t="s">
        <v>51</v>
      </c>
      <c r="C11" s="255">
        <v>1</v>
      </c>
      <c r="D11" s="257">
        <v>830</v>
      </c>
      <c r="E11" s="247">
        <f t="shared" si="2"/>
        <v>955</v>
      </c>
      <c r="F11" s="258">
        <f t="shared" si="3"/>
        <v>830</v>
      </c>
      <c r="G11" s="259">
        <f t="shared" si="0"/>
        <v>955</v>
      </c>
      <c r="H11" s="411">
        <f t="shared" si="1"/>
        <v>115.06024096385541</v>
      </c>
    </row>
    <row r="12" spans="1:8" ht="14.25">
      <c r="A12" s="102">
        <v>7</v>
      </c>
      <c r="B12" s="214" t="s">
        <v>17</v>
      </c>
      <c r="C12" s="255">
        <v>1</v>
      </c>
      <c r="D12" s="257">
        <v>880</v>
      </c>
      <c r="E12" s="247">
        <f t="shared" si="2"/>
        <v>1005</v>
      </c>
      <c r="F12" s="258">
        <f t="shared" si="3"/>
        <v>880</v>
      </c>
      <c r="G12" s="259">
        <f t="shared" si="0"/>
        <v>1005</v>
      </c>
      <c r="H12" s="411">
        <f t="shared" si="1"/>
        <v>114.20454545454544</v>
      </c>
    </row>
    <row r="13" spans="1:8" ht="25.5">
      <c r="A13" s="102">
        <v>8</v>
      </c>
      <c r="B13" s="216" t="s">
        <v>130</v>
      </c>
      <c r="C13" s="255">
        <v>1</v>
      </c>
      <c r="D13" s="257">
        <v>880</v>
      </c>
      <c r="E13" s="247">
        <f t="shared" si="2"/>
        <v>1005</v>
      </c>
      <c r="F13" s="258">
        <f t="shared" si="3"/>
        <v>880</v>
      </c>
      <c r="G13" s="259">
        <f t="shared" si="0"/>
        <v>1005</v>
      </c>
      <c r="H13" s="411">
        <f t="shared" si="1"/>
        <v>114.20454545454544</v>
      </c>
    </row>
    <row r="14" spans="1:8" ht="14.25">
      <c r="A14" s="102">
        <v>9</v>
      </c>
      <c r="B14" s="219" t="s">
        <v>131</v>
      </c>
      <c r="C14" s="255">
        <v>1</v>
      </c>
      <c r="D14" s="257">
        <v>880</v>
      </c>
      <c r="E14" s="247">
        <f t="shared" si="2"/>
        <v>1005</v>
      </c>
      <c r="F14" s="258">
        <f t="shared" si="3"/>
        <v>880</v>
      </c>
      <c r="G14" s="259">
        <f t="shared" si="0"/>
        <v>1005</v>
      </c>
      <c r="H14" s="411">
        <f t="shared" si="1"/>
        <v>114.20454545454544</v>
      </c>
    </row>
    <row r="15" spans="1:8" ht="14.25">
      <c r="A15" s="102">
        <v>10</v>
      </c>
      <c r="B15" s="214" t="s">
        <v>132</v>
      </c>
      <c r="C15" s="255">
        <v>1</v>
      </c>
      <c r="D15" s="257">
        <v>880</v>
      </c>
      <c r="E15" s="247">
        <f t="shared" si="2"/>
        <v>1005</v>
      </c>
      <c r="F15" s="258">
        <f t="shared" si="3"/>
        <v>880</v>
      </c>
      <c r="G15" s="259">
        <f t="shared" si="0"/>
        <v>1005</v>
      </c>
      <c r="H15" s="411">
        <f t="shared" si="1"/>
        <v>114.20454545454544</v>
      </c>
    </row>
    <row r="16" spans="1:8" ht="14.25">
      <c r="A16" s="102">
        <v>11</v>
      </c>
      <c r="B16" s="214" t="s">
        <v>18</v>
      </c>
      <c r="C16" s="255">
        <v>1</v>
      </c>
      <c r="D16" s="257">
        <v>830</v>
      </c>
      <c r="E16" s="247">
        <f t="shared" si="2"/>
        <v>955</v>
      </c>
      <c r="F16" s="258">
        <f t="shared" si="3"/>
        <v>830</v>
      </c>
      <c r="G16" s="259">
        <f t="shared" si="0"/>
        <v>955</v>
      </c>
      <c r="H16" s="411">
        <f t="shared" si="1"/>
        <v>115.06024096385541</v>
      </c>
    </row>
    <row r="17" spans="1:8" ht="27">
      <c r="A17" s="102">
        <v>12</v>
      </c>
      <c r="B17" s="217" t="s">
        <v>324</v>
      </c>
      <c r="C17" s="255">
        <v>1</v>
      </c>
      <c r="D17" s="257">
        <v>830</v>
      </c>
      <c r="E17" s="247">
        <f t="shared" si="2"/>
        <v>955</v>
      </c>
      <c r="F17" s="258">
        <f t="shared" si="3"/>
        <v>830</v>
      </c>
      <c r="G17" s="259">
        <f t="shared" si="0"/>
        <v>955</v>
      </c>
      <c r="H17" s="411">
        <f t="shared" si="1"/>
        <v>115.06024096385541</v>
      </c>
    </row>
    <row r="18" spans="1:8" s="106" customFormat="1" ht="27">
      <c r="A18" s="102">
        <v>13</v>
      </c>
      <c r="B18" s="217" t="s">
        <v>325</v>
      </c>
      <c r="C18" s="218">
        <v>1</v>
      </c>
      <c r="D18" s="257">
        <v>580</v>
      </c>
      <c r="E18" s="247">
        <f t="shared" si="2"/>
        <v>705</v>
      </c>
      <c r="F18" s="258">
        <f t="shared" si="3"/>
        <v>580</v>
      </c>
      <c r="G18" s="259">
        <f t="shared" si="0"/>
        <v>705</v>
      </c>
      <c r="H18" s="411">
        <f t="shared" si="1"/>
        <v>121.55172413793103</v>
      </c>
    </row>
    <row r="19" spans="1:8" ht="27">
      <c r="A19" s="102">
        <v>14</v>
      </c>
      <c r="B19" s="217" t="s">
        <v>326</v>
      </c>
      <c r="C19" s="255">
        <v>1</v>
      </c>
      <c r="D19" s="257">
        <v>580</v>
      </c>
      <c r="E19" s="247">
        <f t="shared" si="2"/>
        <v>705</v>
      </c>
      <c r="F19" s="258">
        <f t="shared" si="3"/>
        <v>580</v>
      </c>
      <c r="G19" s="259">
        <f t="shared" si="0"/>
        <v>705</v>
      </c>
      <c r="H19" s="411">
        <f t="shared" si="1"/>
        <v>121.55172413793103</v>
      </c>
    </row>
    <row r="20" spans="1:8" ht="14.25">
      <c r="A20" s="102">
        <v>15</v>
      </c>
      <c r="B20" s="217" t="s">
        <v>327</v>
      </c>
      <c r="C20" s="255">
        <v>1</v>
      </c>
      <c r="D20" s="257">
        <v>500</v>
      </c>
      <c r="E20" s="247">
        <f t="shared" si="2"/>
        <v>625</v>
      </c>
      <c r="F20" s="258">
        <f t="shared" si="3"/>
        <v>500</v>
      </c>
      <c r="G20" s="259">
        <f t="shared" si="0"/>
        <v>625</v>
      </c>
      <c r="H20" s="411">
        <f t="shared" si="1"/>
        <v>125</v>
      </c>
    </row>
    <row r="21" spans="1:8" ht="14.25">
      <c r="A21" s="102">
        <v>16</v>
      </c>
      <c r="B21" s="428" t="s">
        <v>192</v>
      </c>
      <c r="C21" s="418">
        <v>1</v>
      </c>
      <c r="D21" s="414">
        <v>660</v>
      </c>
      <c r="E21" s="409">
        <v>785</v>
      </c>
      <c r="F21" s="415">
        <f t="shared" si="3"/>
        <v>660</v>
      </c>
      <c r="G21" s="416">
        <f t="shared" si="0"/>
        <v>785</v>
      </c>
    </row>
    <row r="22" spans="1:8" s="107" customFormat="1" ht="14.25">
      <c r="A22" s="102">
        <v>17</v>
      </c>
      <c r="B22" s="217" t="s">
        <v>202</v>
      </c>
      <c r="C22" s="255">
        <v>1</v>
      </c>
      <c r="D22" s="257">
        <v>490</v>
      </c>
      <c r="E22" s="247">
        <f t="shared" si="2"/>
        <v>615</v>
      </c>
      <c r="F22" s="258">
        <f t="shared" si="3"/>
        <v>490</v>
      </c>
      <c r="G22" s="259">
        <f t="shared" si="0"/>
        <v>615</v>
      </c>
      <c r="H22" s="411">
        <f t="shared" ref="H22:H29" si="4">E22/D22%</f>
        <v>125.51020408163265</v>
      </c>
    </row>
    <row r="23" spans="1:8" ht="14.25">
      <c r="A23" s="102">
        <v>18</v>
      </c>
      <c r="B23" s="214" t="s">
        <v>3</v>
      </c>
      <c r="C23" s="255">
        <v>1</v>
      </c>
      <c r="D23" s="257">
        <v>610</v>
      </c>
      <c r="E23" s="247">
        <f t="shared" si="2"/>
        <v>735</v>
      </c>
      <c r="F23" s="258">
        <f t="shared" si="3"/>
        <v>610</v>
      </c>
      <c r="G23" s="259">
        <f t="shared" si="0"/>
        <v>735</v>
      </c>
      <c r="H23" s="411">
        <f t="shared" si="4"/>
        <v>120.49180327868854</v>
      </c>
    </row>
    <row r="24" spans="1:8" s="107" customFormat="1" ht="14.25">
      <c r="A24" s="102">
        <v>19</v>
      </c>
      <c r="B24" s="214" t="s">
        <v>10</v>
      </c>
      <c r="C24" s="255">
        <v>2</v>
      </c>
      <c r="D24" s="257">
        <v>490</v>
      </c>
      <c r="E24" s="247">
        <f t="shared" si="2"/>
        <v>615</v>
      </c>
      <c r="F24" s="258">
        <f t="shared" si="3"/>
        <v>980</v>
      </c>
      <c r="G24" s="259">
        <f t="shared" si="0"/>
        <v>1230</v>
      </c>
      <c r="H24" s="411">
        <f t="shared" si="4"/>
        <v>125.51020408163265</v>
      </c>
    </row>
    <row r="25" spans="1:8" ht="14.25">
      <c r="A25" s="102">
        <v>20</v>
      </c>
      <c r="B25" s="214" t="s">
        <v>11</v>
      </c>
      <c r="C25" s="255">
        <v>3</v>
      </c>
      <c r="D25" s="257">
        <v>490</v>
      </c>
      <c r="E25" s="247">
        <f t="shared" si="2"/>
        <v>615</v>
      </c>
      <c r="F25" s="258">
        <f t="shared" si="3"/>
        <v>1470</v>
      </c>
      <c r="G25" s="259">
        <f t="shared" si="0"/>
        <v>1845</v>
      </c>
      <c r="H25" s="411">
        <f t="shared" si="4"/>
        <v>125.51020408163265</v>
      </c>
    </row>
    <row r="26" spans="1:8" ht="14.25">
      <c r="A26" s="102">
        <v>21</v>
      </c>
      <c r="B26" s="214" t="s">
        <v>133</v>
      </c>
      <c r="C26" s="255">
        <v>1</v>
      </c>
      <c r="D26" s="257">
        <v>540</v>
      </c>
      <c r="E26" s="247">
        <f t="shared" si="2"/>
        <v>665</v>
      </c>
      <c r="F26" s="258">
        <f t="shared" si="3"/>
        <v>540</v>
      </c>
      <c r="G26" s="259">
        <f t="shared" si="0"/>
        <v>665</v>
      </c>
      <c r="H26" s="411">
        <f t="shared" si="4"/>
        <v>123.14814814814814</v>
      </c>
    </row>
    <row r="27" spans="1:8" ht="14.25">
      <c r="A27" s="102">
        <v>22</v>
      </c>
      <c r="B27" s="214" t="s">
        <v>134</v>
      </c>
      <c r="C27" s="255">
        <v>2</v>
      </c>
      <c r="D27" s="257">
        <v>490</v>
      </c>
      <c r="E27" s="247">
        <f t="shared" si="2"/>
        <v>615</v>
      </c>
      <c r="F27" s="258">
        <f t="shared" si="3"/>
        <v>980</v>
      </c>
      <c r="G27" s="259">
        <f t="shared" si="0"/>
        <v>1230</v>
      </c>
      <c r="H27" s="411">
        <f t="shared" si="4"/>
        <v>125.51020408163265</v>
      </c>
    </row>
    <row r="28" spans="1:8" ht="14.25">
      <c r="A28" s="102">
        <v>23</v>
      </c>
      <c r="B28" s="214" t="s">
        <v>135</v>
      </c>
      <c r="C28" s="255">
        <v>1</v>
      </c>
      <c r="D28" s="257">
        <v>490</v>
      </c>
      <c r="E28" s="247">
        <f t="shared" si="2"/>
        <v>615</v>
      </c>
      <c r="F28" s="258">
        <f t="shared" si="3"/>
        <v>490</v>
      </c>
      <c r="G28" s="259">
        <f t="shared" si="0"/>
        <v>615</v>
      </c>
      <c r="H28" s="411">
        <f t="shared" si="4"/>
        <v>125.51020408163265</v>
      </c>
    </row>
    <row r="29" spans="1:8" ht="15" thickBot="1">
      <c r="A29" s="102">
        <v>24</v>
      </c>
      <c r="B29" s="262" t="s">
        <v>136</v>
      </c>
      <c r="C29" s="263">
        <v>1</v>
      </c>
      <c r="D29" s="264">
        <v>490</v>
      </c>
      <c r="E29" s="247">
        <f t="shared" si="2"/>
        <v>615</v>
      </c>
      <c r="F29" s="258">
        <f t="shared" si="3"/>
        <v>490</v>
      </c>
      <c r="G29" s="259">
        <f t="shared" si="0"/>
        <v>615</v>
      </c>
      <c r="H29" s="411">
        <f t="shared" si="4"/>
        <v>125.51020408163265</v>
      </c>
    </row>
    <row r="30" spans="1:8" ht="16.5" thickBot="1">
      <c r="A30" s="266"/>
      <c r="B30" s="267" t="s">
        <v>100</v>
      </c>
      <c r="C30" s="268">
        <f>SUM(C6:C29)</f>
        <v>28</v>
      </c>
      <c r="D30" s="253" t="s">
        <v>12</v>
      </c>
      <c r="E30" s="253" t="s">
        <v>12</v>
      </c>
      <c r="F30" s="269">
        <f>SUM(F6:F29)</f>
        <v>19650</v>
      </c>
      <c r="G30" s="270">
        <f>SUM(G6:G29)</f>
        <v>23185</v>
      </c>
    </row>
    <row r="31" spans="1:8" s="111" customFormat="1" ht="26.25" customHeight="1" thickBot="1">
      <c r="A31" s="520" t="s">
        <v>137</v>
      </c>
      <c r="B31" s="792" t="s">
        <v>138</v>
      </c>
      <c r="C31" s="793"/>
      <c r="D31" s="793"/>
      <c r="E31" s="793"/>
      <c r="F31" s="793"/>
      <c r="G31" s="794"/>
      <c r="H31" s="411"/>
    </row>
    <row r="32" spans="1:8" s="107" customFormat="1" ht="14.25">
      <c r="A32" s="104">
        <v>1</v>
      </c>
      <c r="B32" s="276" t="s">
        <v>139</v>
      </c>
      <c r="C32" s="277">
        <v>1</v>
      </c>
      <c r="D32" s="278">
        <v>730</v>
      </c>
      <c r="E32" s="247">
        <f>D32+125</f>
        <v>855</v>
      </c>
      <c r="F32" s="258">
        <f>D32*C32</f>
        <v>730</v>
      </c>
      <c r="G32" s="259">
        <f>E32*C32</f>
        <v>855</v>
      </c>
      <c r="H32" s="411">
        <f>E32/D32%</f>
        <v>117.12328767123287</v>
      </c>
    </row>
    <row r="33" spans="1:8" ht="14.25">
      <c r="A33" s="104">
        <v>2</v>
      </c>
      <c r="B33" s="217" t="s">
        <v>328</v>
      </c>
      <c r="C33" s="105">
        <v>5</v>
      </c>
      <c r="D33" s="215">
        <v>650</v>
      </c>
      <c r="E33" s="247">
        <f>D33+125</f>
        <v>775</v>
      </c>
      <c r="F33" s="258">
        <f>D33*C33</f>
        <v>3250</v>
      </c>
      <c r="G33" s="259">
        <f>E33*C33</f>
        <v>3875</v>
      </c>
      <c r="H33" s="411">
        <f>E33/D33%</f>
        <v>119.23076923076923</v>
      </c>
    </row>
    <row r="34" spans="1:8" s="107" customFormat="1" ht="15" thickBot="1">
      <c r="A34" s="104">
        <v>3</v>
      </c>
      <c r="B34" s="220" t="s">
        <v>329</v>
      </c>
      <c r="C34" s="112">
        <v>3</v>
      </c>
      <c r="D34" s="215">
        <v>600</v>
      </c>
      <c r="E34" s="247">
        <f>D34+125</f>
        <v>725</v>
      </c>
      <c r="F34" s="258">
        <f>D34*C34</f>
        <v>1800</v>
      </c>
      <c r="G34" s="259">
        <f>E34*C34</f>
        <v>2175</v>
      </c>
      <c r="H34" s="411">
        <f>E34/D34%</f>
        <v>120.83333333333333</v>
      </c>
    </row>
    <row r="35" spans="1:8" ht="16.5" thickBot="1">
      <c r="A35" s="260"/>
      <c r="B35" s="279" t="s">
        <v>100</v>
      </c>
      <c r="C35" s="280">
        <f>SUM(C32:C34)</f>
        <v>9</v>
      </c>
      <c r="D35" s="281" t="s">
        <v>12</v>
      </c>
      <c r="E35" s="281" t="s">
        <v>12</v>
      </c>
      <c r="F35" s="282">
        <f>F32+F33+F34</f>
        <v>5780</v>
      </c>
      <c r="G35" s="283">
        <f>G32+G33+G34</f>
        <v>6905</v>
      </c>
    </row>
    <row r="36" spans="1:8" s="111" customFormat="1" ht="15.75" thickBot="1">
      <c r="A36" s="125" t="s">
        <v>140</v>
      </c>
      <c r="B36" s="792" t="s">
        <v>141</v>
      </c>
      <c r="C36" s="793"/>
      <c r="D36" s="793"/>
      <c r="E36" s="793"/>
      <c r="F36" s="793"/>
      <c r="G36" s="794"/>
      <c r="H36" s="411"/>
    </row>
    <row r="37" spans="1:8" ht="14.25">
      <c r="A37" s="104">
        <v>1</v>
      </c>
      <c r="B37" s="284" t="s">
        <v>142</v>
      </c>
      <c r="C37" s="277">
        <v>1</v>
      </c>
      <c r="D37" s="278">
        <v>610</v>
      </c>
      <c r="E37" s="247">
        <f t="shared" ref="E37:E73" si="5">D37+125</f>
        <v>735</v>
      </c>
      <c r="F37" s="258">
        <f>D37*C37</f>
        <v>610</v>
      </c>
      <c r="G37" s="259">
        <f t="shared" ref="G37:G73" si="6">E37*C37</f>
        <v>735</v>
      </c>
      <c r="H37" s="411">
        <f t="shared" ref="H37:H73" si="7">E37/D37%</f>
        <v>120.49180327868854</v>
      </c>
    </row>
    <row r="38" spans="1:8" ht="14.25">
      <c r="A38" s="104">
        <v>2</v>
      </c>
      <c r="B38" s="221" t="s">
        <v>143</v>
      </c>
      <c r="C38" s="105">
        <v>1</v>
      </c>
      <c r="D38" s="215">
        <v>540</v>
      </c>
      <c r="E38" s="247">
        <f t="shared" si="5"/>
        <v>665</v>
      </c>
      <c r="F38" s="258">
        <f>D38*C38</f>
        <v>540</v>
      </c>
      <c r="G38" s="259">
        <f t="shared" si="6"/>
        <v>665</v>
      </c>
      <c r="H38" s="411">
        <f t="shared" si="7"/>
        <v>123.14814814814814</v>
      </c>
    </row>
    <row r="39" spans="1:8" ht="14.25">
      <c r="A39" s="104">
        <v>3</v>
      </c>
      <c r="B39" s="221" t="s">
        <v>144</v>
      </c>
      <c r="C39" s="105">
        <v>1</v>
      </c>
      <c r="D39" s="215">
        <v>610</v>
      </c>
      <c r="E39" s="247">
        <f t="shared" si="5"/>
        <v>735</v>
      </c>
      <c r="F39" s="258">
        <f t="shared" ref="F39:F73" si="8">D39*C39</f>
        <v>610</v>
      </c>
      <c r="G39" s="259">
        <f t="shared" si="6"/>
        <v>735</v>
      </c>
      <c r="H39" s="411">
        <f t="shared" si="7"/>
        <v>120.49180327868854</v>
      </c>
    </row>
    <row r="40" spans="1:8" ht="14.25">
      <c r="A40" s="104">
        <v>4</v>
      </c>
      <c r="B40" s="221" t="s">
        <v>145</v>
      </c>
      <c r="C40" s="105">
        <v>1</v>
      </c>
      <c r="D40" s="215">
        <v>510</v>
      </c>
      <c r="E40" s="247">
        <f t="shared" si="5"/>
        <v>635</v>
      </c>
      <c r="F40" s="258">
        <f t="shared" si="8"/>
        <v>510</v>
      </c>
      <c r="G40" s="259">
        <f t="shared" si="6"/>
        <v>635</v>
      </c>
      <c r="H40" s="411">
        <f t="shared" si="7"/>
        <v>124.50980392156863</v>
      </c>
    </row>
    <row r="41" spans="1:8" ht="14.25">
      <c r="A41" s="104">
        <v>5</v>
      </c>
      <c r="B41" s="221" t="s">
        <v>146</v>
      </c>
      <c r="C41" s="105">
        <v>1</v>
      </c>
      <c r="D41" s="215">
        <v>610</v>
      </c>
      <c r="E41" s="247">
        <f t="shared" si="5"/>
        <v>735</v>
      </c>
      <c r="F41" s="258">
        <f t="shared" si="8"/>
        <v>610</v>
      </c>
      <c r="G41" s="259">
        <f t="shared" si="6"/>
        <v>735</v>
      </c>
      <c r="H41" s="411">
        <f t="shared" si="7"/>
        <v>120.49180327868854</v>
      </c>
    </row>
    <row r="42" spans="1:8" ht="14.25">
      <c r="A42" s="104">
        <v>6</v>
      </c>
      <c r="B42" s="221" t="s">
        <v>147</v>
      </c>
      <c r="C42" s="105">
        <v>1</v>
      </c>
      <c r="D42" s="215">
        <v>610</v>
      </c>
      <c r="E42" s="247">
        <f t="shared" si="5"/>
        <v>735</v>
      </c>
      <c r="F42" s="258">
        <f t="shared" si="8"/>
        <v>610</v>
      </c>
      <c r="G42" s="259">
        <f t="shared" si="6"/>
        <v>735</v>
      </c>
      <c r="H42" s="411">
        <f t="shared" si="7"/>
        <v>120.49180327868854</v>
      </c>
    </row>
    <row r="43" spans="1:8" ht="14.25">
      <c r="A43" s="104">
        <v>7</v>
      </c>
      <c r="B43" s="221" t="s">
        <v>148</v>
      </c>
      <c r="C43" s="105">
        <v>1</v>
      </c>
      <c r="D43" s="215">
        <v>510</v>
      </c>
      <c r="E43" s="247">
        <f t="shared" si="5"/>
        <v>635</v>
      </c>
      <c r="F43" s="258">
        <f t="shared" si="8"/>
        <v>510</v>
      </c>
      <c r="G43" s="259">
        <f t="shared" si="6"/>
        <v>635</v>
      </c>
      <c r="H43" s="411">
        <f t="shared" si="7"/>
        <v>124.50980392156863</v>
      </c>
    </row>
    <row r="44" spans="1:8" ht="14.25">
      <c r="A44" s="104">
        <v>8</v>
      </c>
      <c r="B44" s="221" t="s">
        <v>149</v>
      </c>
      <c r="C44" s="105">
        <v>1</v>
      </c>
      <c r="D44" s="215">
        <v>510</v>
      </c>
      <c r="E44" s="247">
        <f t="shared" si="5"/>
        <v>635</v>
      </c>
      <c r="F44" s="258">
        <f t="shared" si="8"/>
        <v>510</v>
      </c>
      <c r="G44" s="259">
        <f t="shared" si="6"/>
        <v>635</v>
      </c>
      <c r="H44" s="411">
        <f t="shared" si="7"/>
        <v>124.50980392156863</v>
      </c>
    </row>
    <row r="45" spans="1:8" ht="14.25">
      <c r="A45" s="104">
        <v>9</v>
      </c>
      <c r="B45" s="221" t="s">
        <v>150</v>
      </c>
      <c r="C45" s="105">
        <v>1</v>
      </c>
      <c r="D45" s="215">
        <v>540</v>
      </c>
      <c r="E45" s="247">
        <f t="shared" si="5"/>
        <v>665</v>
      </c>
      <c r="F45" s="258">
        <f t="shared" si="8"/>
        <v>540</v>
      </c>
      <c r="G45" s="259">
        <f t="shared" si="6"/>
        <v>665</v>
      </c>
      <c r="H45" s="411">
        <f t="shared" si="7"/>
        <v>123.14814814814814</v>
      </c>
    </row>
    <row r="46" spans="1:8" ht="14.25">
      <c r="A46" s="104">
        <v>10</v>
      </c>
      <c r="B46" s="221" t="s">
        <v>151</v>
      </c>
      <c r="C46" s="105">
        <v>1</v>
      </c>
      <c r="D46" s="215">
        <v>540</v>
      </c>
      <c r="E46" s="247">
        <f t="shared" si="5"/>
        <v>665</v>
      </c>
      <c r="F46" s="258">
        <f t="shared" si="8"/>
        <v>540</v>
      </c>
      <c r="G46" s="259">
        <f t="shared" si="6"/>
        <v>665</v>
      </c>
      <c r="H46" s="411">
        <f t="shared" si="7"/>
        <v>123.14814814814814</v>
      </c>
    </row>
    <row r="47" spans="1:8" ht="14.25">
      <c r="A47" s="104">
        <v>11</v>
      </c>
      <c r="B47" s="221" t="s">
        <v>152</v>
      </c>
      <c r="C47" s="105">
        <v>1</v>
      </c>
      <c r="D47" s="215">
        <v>610</v>
      </c>
      <c r="E47" s="247">
        <f t="shared" si="5"/>
        <v>735</v>
      </c>
      <c r="F47" s="258">
        <f t="shared" si="8"/>
        <v>610</v>
      </c>
      <c r="G47" s="259">
        <f t="shared" si="6"/>
        <v>735</v>
      </c>
      <c r="H47" s="411">
        <f t="shared" si="7"/>
        <v>120.49180327868854</v>
      </c>
    </row>
    <row r="48" spans="1:8" s="106" customFormat="1" ht="14.25">
      <c r="A48" s="104">
        <v>12</v>
      </c>
      <c r="B48" s="221" t="s">
        <v>153</v>
      </c>
      <c r="C48" s="105">
        <v>1</v>
      </c>
      <c r="D48" s="215">
        <v>540</v>
      </c>
      <c r="E48" s="247">
        <f t="shared" si="5"/>
        <v>665</v>
      </c>
      <c r="F48" s="258">
        <f t="shared" si="8"/>
        <v>540</v>
      </c>
      <c r="G48" s="259">
        <f t="shared" si="6"/>
        <v>665</v>
      </c>
      <c r="H48" s="411">
        <f t="shared" si="7"/>
        <v>123.14814814814814</v>
      </c>
    </row>
    <row r="49" spans="1:8" ht="14.25">
      <c r="A49" s="104">
        <v>13</v>
      </c>
      <c r="B49" s="221" t="s">
        <v>154</v>
      </c>
      <c r="C49" s="105">
        <v>1</v>
      </c>
      <c r="D49" s="215">
        <v>610</v>
      </c>
      <c r="E49" s="247">
        <f t="shared" si="5"/>
        <v>735</v>
      </c>
      <c r="F49" s="258">
        <f t="shared" si="8"/>
        <v>610</v>
      </c>
      <c r="G49" s="259">
        <f t="shared" si="6"/>
        <v>735</v>
      </c>
      <c r="H49" s="411">
        <f t="shared" si="7"/>
        <v>120.49180327868854</v>
      </c>
    </row>
    <row r="50" spans="1:8" ht="14.25">
      <c r="A50" s="104">
        <v>14</v>
      </c>
      <c r="B50" s="221" t="s">
        <v>155</v>
      </c>
      <c r="C50" s="105">
        <v>1</v>
      </c>
      <c r="D50" s="215">
        <v>540</v>
      </c>
      <c r="E50" s="247">
        <f t="shared" si="5"/>
        <v>665</v>
      </c>
      <c r="F50" s="258">
        <f t="shared" si="8"/>
        <v>540</v>
      </c>
      <c r="G50" s="259">
        <f t="shared" si="6"/>
        <v>665</v>
      </c>
      <c r="H50" s="411">
        <f t="shared" si="7"/>
        <v>123.14814814814814</v>
      </c>
    </row>
    <row r="51" spans="1:8" ht="14.25">
      <c r="A51" s="104">
        <v>15</v>
      </c>
      <c r="B51" s="221" t="s">
        <v>156</v>
      </c>
      <c r="C51" s="105">
        <v>1</v>
      </c>
      <c r="D51" s="215">
        <v>540</v>
      </c>
      <c r="E51" s="247">
        <f t="shared" si="5"/>
        <v>665</v>
      </c>
      <c r="F51" s="258">
        <f t="shared" si="8"/>
        <v>540</v>
      </c>
      <c r="G51" s="259">
        <f t="shared" si="6"/>
        <v>665</v>
      </c>
      <c r="H51" s="411">
        <f t="shared" si="7"/>
        <v>123.14814814814814</v>
      </c>
    </row>
    <row r="52" spans="1:8" ht="14.25">
      <c r="A52" s="104">
        <v>16</v>
      </c>
      <c r="B52" s="428" t="s">
        <v>194</v>
      </c>
      <c r="C52" s="418">
        <v>1</v>
      </c>
      <c r="D52" s="414">
        <v>510</v>
      </c>
      <c r="E52" s="409">
        <v>635</v>
      </c>
      <c r="F52" s="415">
        <f t="shared" si="8"/>
        <v>510</v>
      </c>
      <c r="G52" s="416">
        <f t="shared" si="6"/>
        <v>635</v>
      </c>
      <c r="H52" s="411">
        <f t="shared" si="7"/>
        <v>124.50980392156863</v>
      </c>
    </row>
    <row r="53" spans="1:8" ht="14.25">
      <c r="A53" s="104">
        <v>17</v>
      </c>
      <c r="B53" s="221" t="s">
        <v>157</v>
      </c>
      <c r="C53" s="105">
        <v>1</v>
      </c>
      <c r="D53" s="215">
        <v>610</v>
      </c>
      <c r="E53" s="247">
        <f t="shared" si="5"/>
        <v>735</v>
      </c>
      <c r="F53" s="258">
        <f t="shared" si="8"/>
        <v>610</v>
      </c>
      <c r="G53" s="259">
        <f t="shared" si="6"/>
        <v>735</v>
      </c>
      <c r="H53" s="411">
        <f t="shared" si="7"/>
        <v>120.49180327868854</v>
      </c>
    </row>
    <row r="54" spans="1:8" ht="14.25">
      <c r="A54" s="104">
        <v>18</v>
      </c>
      <c r="B54" s="221" t="s">
        <v>158</v>
      </c>
      <c r="C54" s="105">
        <v>1</v>
      </c>
      <c r="D54" s="215">
        <v>610</v>
      </c>
      <c r="E54" s="247">
        <f t="shared" si="5"/>
        <v>735</v>
      </c>
      <c r="F54" s="258">
        <f t="shared" si="8"/>
        <v>610</v>
      </c>
      <c r="G54" s="259">
        <f t="shared" si="6"/>
        <v>735</v>
      </c>
      <c r="H54" s="411">
        <f t="shared" si="7"/>
        <v>120.49180327868854</v>
      </c>
    </row>
    <row r="55" spans="1:8" ht="14.25">
      <c r="A55" s="104">
        <v>19</v>
      </c>
      <c r="B55" s="221" t="s">
        <v>159</v>
      </c>
      <c r="C55" s="105">
        <v>1</v>
      </c>
      <c r="D55" s="215">
        <v>540</v>
      </c>
      <c r="E55" s="247">
        <f t="shared" si="5"/>
        <v>665</v>
      </c>
      <c r="F55" s="258">
        <f t="shared" si="8"/>
        <v>540</v>
      </c>
      <c r="G55" s="259">
        <f t="shared" si="6"/>
        <v>665</v>
      </c>
      <c r="H55" s="411">
        <f t="shared" si="7"/>
        <v>123.14814814814814</v>
      </c>
    </row>
    <row r="56" spans="1:8" ht="14.25">
      <c r="A56" s="104">
        <v>20</v>
      </c>
      <c r="B56" s="221" t="s">
        <v>160</v>
      </c>
      <c r="C56" s="105">
        <v>1</v>
      </c>
      <c r="D56" s="215">
        <v>540</v>
      </c>
      <c r="E56" s="247">
        <f t="shared" si="5"/>
        <v>665</v>
      </c>
      <c r="F56" s="258">
        <f t="shared" si="8"/>
        <v>540</v>
      </c>
      <c r="G56" s="259">
        <f t="shared" si="6"/>
        <v>665</v>
      </c>
      <c r="H56" s="411">
        <f t="shared" si="7"/>
        <v>123.14814814814814</v>
      </c>
    </row>
    <row r="57" spans="1:8" ht="14.25">
      <c r="A57" s="104">
        <v>21</v>
      </c>
      <c r="B57" s="221" t="s">
        <v>161</v>
      </c>
      <c r="C57" s="105">
        <v>1</v>
      </c>
      <c r="D57" s="215">
        <v>540</v>
      </c>
      <c r="E57" s="247">
        <f t="shared" si="5"/>
        <v>665</v>
      </c>
      <c r="F57" s="258">
        <f t="shared" si="8"/>
        <v>540</v>
      </c>
      <c r="G57" s="259">
        <f t="shared" si="6"/>
        <v>665</v>
      </c>
      <c r="H57" s="411">
        <f t="shared" si="7"/>
        <v>123.14814814814814</v>
      </c>
    </row>
    <row r="58" spans="1:8" ht="14.25">
      <c r="A58" s="104">
        <v>22</v>
      </c>
      <c r="B58" s="221" t="s">
        <v>162</v>
      </c>
      <c r="C58" s="105">
        <v>1</v>
      </c>
      <c r="D58" s="215">
        <v>540</v>
      </c>
      <c r="E58" s="247">
        <f t="shared" si="5"/>
        <v>665</v>
      </c>
      <c r="F58" s="258">
        <f t="shared" si="8"/>
        <v>540</v>
      </c>
      <c r="G58" s="259">
        <f t="shared" si="6"/>
        <v>665</v>
      </c>
      <c r="H58" s="411">
        <f t="shared" si="7"/>
        <v>123.14814814814814</v>
      </c>
    </row>
    <row r="59" spans="1:8" ht="14.25">
      <c r="A59" s="104">
        <v>23</v>
      </c>
      <c r="B59" s="221" t="s">
        <v>163</v>
      </c>
      <c r="C59" s="105">
        <v>1</v>
      </c>
      <c r="D59" s="215">
        <v>540</v>
      </c>
      <c r="E59" s="247">
        <f t="shared" si="5"/>
        <v>665</v>
      </c>
      <c r="F59" s="258">
        <f t="shared" si="8"/>
        <v>540</v>
      </c>
      <c r="G59" s="259">
        <f t="shared" si="6"/>
        <v>665</v>
      </c>
      <c r="H59" s="411">
        <f t="shared" si="7"/>
        <v>123.14814814814814</v>
      </c>
    </row>
    <row r="60" spans="1:8" ht="14.25">
      <c r="A60" s="104">
        <v>24</v>
      </c>
      <c r="B60" s="221" t="s">
        <v>164</v>
      </c>
      <c r="C60" s="105">
        <v>1</v>
      </c>
      <c r="D60" s="215">
        <v>540</v>
      </c>
      <c r="E60" s="247">
        <f t="shared" si="5"/>
        <v>665</v>
      </c>
      <c r="F60" s="258">
        <f t="shared" si="8"/>
        <v>540</v>
      </c>
      <c r="G60" s="259">
        <f t="shared" si="6"/>
        <v>665</v>
      </c>
      <c r="H60" s="411">
        <f t="shared" si="7"/>
        <v>123.14814814814814</v>
      </c>
    </row>
    <row r="61" spans="1:8" ht="14.25">
      <c r="A61" s="104">
        <v>25</v>
      </c>
      <c r="B61" s="221" t="s">
        <v>165</v>
      </c>
      <c r="C61" s="105">
        <v>1</v>
      </c>
      <c r="D61" s="215">
        <v>510</v>
      </c>
      <c r="E61" s="247">
        <f t="shared" si="5"/>
        <v>635</v>
      </c>
      <c r="F61" s="258">
        <f t="shared" si="8"/>
        <v>510</v>
      </c>
      <c r="G61" s="259">
        <f t="shared" si="6"/>
        <v>635</v>
      </c>
      <c r="H61" s="411">
        <f t="shared" si="7"/>
        <v>124.50980392156863</v>
      </c>
    </row>
    <row r="62" spans="1:8" ht="14.25">
      <c r="A62" s="104">
        <v>26</v>
      </c>
      <c r="B62" s="221" t="s">
        <v>166</v>
      </c>
      <c r="C62" s="105">
        <v>1</v>
      </c>
      <c r="D62" s="215">
        <v>540</v>
      </c>
      <c r="E62" s="247">
        <f t="shared" si="5"/>
        <v>665</v>
      </c>
      <c r="F62" s="258">
        <f t="shared" si="8"/>
        <v>540</v>
      </c>
      <c r="G62" s="259">
        <f t="shared" si="6"/>
        <v>665</v>
      </c>
      <c r="H62" s="411">
        <f t="shared" si="7"/>
        <v>123.14814814814814</v>
      </c>
    </row>
    <row r="63" spans="1:8" ht="14.25">
      <c r="A63" s="104">
        <v>27</v>
      </c>
      <c r="B63" s="221" t="s">
        <v>167</v>
      </c>
      <c r="C63" s="105">
        <v>1</v>
      </c>
      <c r="D63" s="215">
        <v>540</v>
      </c>
      <c r="E63" s="247">
        <f t="shared" si="5"/>
        <v>665</v>
      </c>
      <c r="F63" s="258">
        <f t="shared" si="8"/>
        <v>540</v>
      </c>
      <c r="G63" s="259">
        <f t="shared" si="6"/>
        <v>665</v>
      </c>
      <c r="H63" s="411">
        <f t="shared" si="7"/>
        <v>123.14814814814814</v>
      </c>
    </row>
    <row r="64" spans="1:8" s="107" customFormat="1" ht="14.25">
      <c r="A64" s="104">
        <v>28</v>
      </c>
      <c r="B64" s="221" t="s">
        <v>168</v>
      </c>
      <c r="C64" s="105">
        <v>1</v>
      </c>
      <c r="D64" s="215">
        <v>540</v>
      </c>
      <c r="E64" s="247">
        <f t="shared" si="5"/>
        <v>665</v>
      </c>
      <c r="F64" s="258">
        <f t="shared" si="8"/>
        <v>540</v>
      </c>
      <c r="G64" s="259">
        <f t="shared" si="6"/>
        <v>665</v>
      </c>
      <c r="H64" s="411">
        <f t="shared" si="7"/>
        <v>123.14814814814814</v>
      </c>
    </row>
    <row r="65" spans="1:8" ht="14.25">
      <c r="A65" s="104">
        <v>29</v>
      </c>
      <c r="B65" s="221" t="s">
        <v>330</v>
      </c>
      <c r="C65" s="105">
        <v>1</v>
      </c>
      <c r="D65" s="215">
        <v>540</v>
      </c>
      <c r="E65" s="247">
        <f t="shared" si="5"/>
        <v>665</v>
      </c>
      <c r="F65" s="258">
        <f t="shared" si="8"/>
        <v>540</v>
      </c>
      <c r="G65" s="259">
        <f t="shared" si="6"/>
        <v>665</v>
      </c>
      <c r="H65" s="411">
        <f t="shared" si="7"/>
        <v>123.14814814814814</v>
      </c>
    </row>
    <row r="66" spans="1:8" ht="24">
      <c r="A66" s="104">
        <v>30</v>
      </c>
      <c r="B66" s="428" t="s">
        <v>199</v>
      </c>
      <c r="C66" s="418">
        <v>1</v>
      </c>
      <c r="D66" s="414">
        <v>510</v>
      </c>
      <c r="E66" s="409">
        <v>635</v>
      </c>
      <c r="F66" s="415">
        <f t="shared" si="8"/>
        <v>510</v>
      </c>
      <c r="G66" s="416">
        <f t="shared" si="6"/>
        <v>635</v>
      </c>
      <c r="H66" s="411">
        <f t="shared" si="7"/>
        <v>124.50980392156863</v>
      </c>
    </row>
    <row r="67" spans="1:8" s="107" customFormat="1" ht="14.25">
      <c r="A67" s="104">
        <v>31</v>
      </c>
      <c r="B67" s="221" t="s">
        <v>169</v>
      </c>
      <c r="C67" s="105">
        <v>1</v>
      </c>
      <c r="D67" s="215">
        <v>540</v>
      </c>
      <c r="E67" s="247">
        <f t="shared" si="5"/>
        <v>665</v>
      </c>
      <c r="F67" s="258">
        <f t="shared" si="8"/>
        <v>540</v>
      </c>
      <c r="G67" s="259">
        <f t="shared" si="6"/>
        <v>665</v>
      </c>
      <c r="H67" s="411">
        <f t="shared" si="7"/>
        <v>123.14814814814814</v>
      </c>
    </row>
    <row r="68" spans="1:8" ht="14.25">
      <c r="A68" s="104">
        <v>32</v>
      </c>
      <c r="B68" s="221" t="s">
        <v>170</v>
      </c>
      <c r="C68" s="105">
        <v>1</v>
      </c>
      <c r="D68" s="215">
        <v>540</v>
      </c>
      <c r="E68" s="247">
        <f t="shared" si="5"/>
        <v>665</v>
      </c>
      <c r="F68" s="258">
        <f t="shared" si="8"/>
        <v>540</v>
      </c>
      <c r="G68" s="259">
        <f t="shared" si="6"/>
        <v>665</v>
      </c>
      <c r="H68" s="411">
        <f t="shared" si="7"/>
        <v>123.14814814814814</v>
      </c>
    </row>
    <row r="69" spans="1:8" s="107" customFormat="1" ht="14.25">
      <c r="A69" s="104">
        <v>33</v>
      </c>
      <c r="B69" s="221" t="s">
        <v>171</v>
      </c>
      <c r="C69" s="105">
        <v>1</v>
      </c>
      <c r="D69" s="215">
        <v>510</v>
      </c>
      <c r="E69" s="247">
        <f t="shared" si="5"/>
        <v>635</v>
      </c>
      <c r="F69" s="258">
        <f t="shared" si="8"/>
        <v>510</v>
      </c>
      <c r="G69" s="259">
        <f t="shared" si="6"/>
        <v>635</v>
      </c>
      <c r="H69" s="411">
        <f t="shared" si="7"/>
        <v>124.50980392156863</v>
      </c>
    </row>
    <row r="70" spans="1:8" s="107" customFormat="1" ht="14.25">
      <c r="A70" s="104">
        <v>34</v>
      </c>
      <c r="B70" s="221" t="s">
        <v>172</v>
      </c>
      <c r="C70" s="105">
        <v>1</v>
      </c>
      <c r="D70" s="215">
        <v>510</v>
      </c>
      <c r="E70" s="247">
        <f t="shared" si="5"/>
        <v>635</v>
      </c>
      <c r="F70" s="258">
        <f t="shared" si="8"/>
        <v>510</v>
      </c>
      <c r="G70" s="259">
        <f t="shared" si="6"/>
        <v>635</v>
      </c>
      <c r="H70" s="411">
        <f t="shared" si="7"/>
        <v>124.50980392156863</v>
      </c>
    </row>
    <row r="71" spans="1:8" s="107" customFormat="1" ht="14.25">
      <c r="A71" s="104">
        <v>35</v>
      </c>
      <c r="B71" s="221" t="s">
        <v>173</v>
      </c>
      <c r="C71" s="105">
        <v>1</v>
      </c>
      <c r="D71" s="215">
        <v>540</v>
      </c>
      <c r="E71" s="247">
        <f t="shared" si="5"/>
        <v>665</v>
      </c>
      <c r="F71" s="258">
        <f t="shared" si="8"/>
        <v>540</v>
      </c>
      <c r="G71" s="259">
        <f t="shared" si="6"/>
        <v>665</v>
      </c>
      <c r="H71" s="411">
        <f t="shared" si="7"/>
        <v>123.14814814814814</v>
      </c>
    </row>
    <row r="72" spans="1:8" s="107" customFormat="1" ht="14.25">
      <c r="A72" s="104">
        <v>36</v>
      </c>
      <c r="B72" s="221" t="s">
        <v>174</v>
      </c>
      <c r="C72" s="105">
        <v>1</v>
      </c>
      <c r="D72" s="215">
        <v>510</v>
      </c>
      <c r="E72" s="247">
        <f t="shared" si="5"/>
        <v>635</v>
      </c>
      <c r="F72" s="258">
        <f t="shared" si="8"/>
        <v>510</v>
      </c>
      <c r="G72" s="259">
        <f t="shared" si="6"/>
        <v>635</v>
      </c>
      <c r="H72" s="411">
        <f t="shared" si="7"/>
        <v>124.50980392156863</v>
      </c>
    </row>
    <row r="73" spans="1:8" s="106" customFormat="1" ht="15" thickBot="1">
      <c r="A73" s="104">
        <v>37</v>
      </c>
      <c r="B73" s="303" t="s">
        <v>175</v>
      </c>
      <c r="C73" s="295">
        <v>1</v>
      </c>
      <c r="D73" s="296">
        <v>870</v>
      </c>
      <c r="E73" s="265">
        <f t="shared" si="5"/>
        <v>995</v>
      </c>
      <c r="F73" s="258">
        <f t="shared" si="8"/>
        <v>870</v>
      </c>
      <c r="G73" s="259">
        <f t="shared" si="6"/>
        <v>995</v>
      </c>
      <c r="H73" s="411">
        <f t="shared" si="7"/>
        <v>114.36781609195403</v>
      </c>
    </row>
    <row r="74" spans="1:8" s="113" customFormat="1" ht="16.5" thickBot="1">
      <c r="A74" s="302"/>
      <c r="B74" s="289" t="s">
        <v>100</v>
      </c>
      <c r="C74" s="289">
        <f>SUM(C37:C73)</f>
        <v>37</v>
      </c>
      <c r="D74" s="253" t="s">
        <v>12</v>
      </c>
      <c r="E74" s="253" t="s">
        <v>12</v>
      </c>
      <c r="F74" s="269">
        <f>SUM(F37:F73)</f>
        <v>20600</v>
      </c>
      <c r="G74" s="270">
        <f>SUM(G37:G73)</f>
        <v>25225</v>
      </c>
      <c r="H74" s="411"/>
    </row>
    <row r="75" spans="1:8" s="111" customFormat="1" ht="15.75" thickBot="1">
      <c r="A75" s="125" t="s">
        <v>176</v>
      </c>
      <c r="B75" s="792" t="s">
        <v>177</v>
      </c>
      <c r="C75" s="793"/>
      <c r="D75" s="793"/>
      <c r="E75" s="793"/>
      <c r="F75" s="793"/>
      <c r="G75" s="794"/>
      <c r="H75" s="411"/>
    </row>
    <row r="76" spans="1:8" ht="14.25">
      <c r="A76" s="104">
        <v>1</v>
      </c>
      <c r="B76" s="299" t="s">
        <v>178</v>
      </c>
      <c r="C76" s="277">
        <v>1</v>
      </c>
      <c r="D76" s="278">
        <v>700</v>
      </c>
      <c r="E76" s="292">
        <f t="shared" ref="E76:E89" si="9">D76+125</f>
        <v>825</v>
      </c>
      <c r="F76" s="258">
        <f>D76*C76</f>
        <v>700</v>
      </c>
      <c r="G76" s="259">
        <f t="shared" ref="G76:G89" si="10">E76*C76</f>
        <v>825</v>
      </c>
      <c r="H76" s="411">
        <f t="shared" ref="H76:H89" si="11">E76/D76%</f>
        <v>117.85714285714286</v>
      </c>
    </row>
    <row r="77" spans="1:8" ht="14.25">
      <c r="A77" s="104">
        <v>2</v>
      </c>
      <c r="B77" s="222" t="s">
        <v>179</v>
      </c>
      <c r="C77" s="105">
        <v>1</v>
      </c>
      <c r="D77" s="215">
        <v>540</v>
      </c>
      <c r="E77" s="247">
        <f t="shared" si="9"/>
        <v>665</v>
      </c>
      <c r="F77" s="258">
        <f>D77*C77</f>
        <v>540</v>
      </c>
      <c r="G77" s="259">
        <f t="shared" si="10"/>
        <v>665</v>
      </c>
      <c r="H77" s="411">
        <f t="shared" si="11"/>
        <v>123.14814814814814</v>
      </c>
    </row>
    <row r="78" spans="1:8" ht="27">
      <c r="A78" s="104">
        <v>3</v>
      </c>
      <c r="B78" s="229" t="s">
        <v>331</v>
      </c>
      <c r="C78" s="105">
        <v>1</v>
      </c>
      <c r="D78" s="215">
        <v>540</v>
      </c>
      <c r="E78" s="247">
        <f t="shared" si="9"/>
        <v>665</v>
      </c>
      <c r="F78" s="258">
        <f>D78*C78</f>
        <v>540</v>
      </c>
      <c r="G78" s="259">
        <f t="shared" si="10"/>
        <v>665</v>
      </c>
      <c r="H78" s="411">
        <f t="shared" si="11"/>
        <v>123.14814814814814</v>
      </c>
    </row>
    <row r="79" spans="1:8" ht="27">
      <c r="A79" s="104">
        <v>4</v>
      </c>
      <c r="B79" s="220" t="s">
        <v>332</v>
      </c>
      <c r="C79" s="105">
        <v>1</v>
      </c>
      <c r="D79" s="215">
        <v>540</v>
      </c>
      <c r="E79" s="247">
        <f t="shared" si="9"/>
        <v>665</v>
      </c>
      <c r="F79" s="258">
        <f>D79*C79</f>
        <v>540</v>
      </c>
      <c r="G79" s="259">
        <f t="shared" si="10"/>
        <v>665</v>
      </c>
      <c r="H79" s="411">
        <f t="shared" si="11"/>
        <v>123.14814814814814</v>
      </c>
    </row>
    <row r="80" spans="1:8" s="107" customFormat="1" ht="14.25">
      <c r="A80" s="104">
        <v>5</v>
      </c>
      <c r="B80" s="222" t="s">
        <v>333</v>
      </c>
      <c r="C80" s="105">
        <v>1</v>
      </c>
      <c r="D80" s="215">
        <v>540</v>
      </c>
      <c r="E80" s="247">
        <f t="shared" si="9"/>
        <v>665</v>
      </c>
      <c r="F80" s="258">
        <f t="shared" ref="F80:F89" si="12">D80*C80</f>
        <v>540</v>
      </c>
      <c r="G80" s="259">
        <f t="shared" si="10"/>
        <v>665</v>
      </c>
      <c r="H80" s="411">
        <f t="shared" si="11"/>
        <v>123.14814814814814</v>
      </c>
    </row>
    <row r="81" spans="1:8" s="107" customFormat="1" ht="14.25">
      <c r="A81" s="104">
        <v>6</v>
      </c>
      <c r="B81" s="222" t="s">
        <v>338</v>
      </c>
      <c r="C81" s="105">
        <v>1</v>
      </c>
      <c r="D81" s="215">
        <v>540</v>
      </c>
      <c r="E81" s="247">
        <f t="shared" si="9"/>
        <v>665</v>
      </c>
      <c r="F81" s="258">
        <f t="shared" si="12"/>
        <v>540</v>
      </c>
      <c r="G81" s="259">
        <f t="shared" si="10"/>
        <v>665</v>
      </c>
      <c r="H81" s="411">
        <f t="shared" si="11"/>
        <v>123.14814814814814</v>
      </c>
    </row>
    <row r="82" spans="1:8" ht="14.25">
      <c r="A82" s="104">
        <v>7</v>
      </c>
      <c r="B82" s="222" t="s">
        <v>334</v>
      </c>
      <c r="C82" s="105">
        <v>1</v>
      </c>
      <c r="D82" s="215">
        <v>540</v>
      </c>
      <c r="E82" s="247">
        <f t="shared" si="9"/>
        <v>665</v>
      </c>
      <c r="F82" s="258">
        <f t="shared" si="12"/>
        <v>540</v>
      </c>
      <c r="G82" s="259">
        <f t="shared" si="10"/>
        <v>665</v>
      </c>
      <c r="H82" s="411">
        <f t="shared" si="11"/>
        <v>123.14814814814814</v>
      </c>
    </row>
    <row r="83" spans="1:8" s="107" customFormat="1" ht="14.25">
      <c r="A83" s="104">
        <v>8</v>
      </c>
      <c r="B83" s="223" t="s">
        <v>335</v>
      </c>
      <c r="C83" s="105">
        <v>1</v>
      </c>
      <c r="D83" s="215">
        <v>540</v>
      </c>
      <c r="E83" s="247">
        <f t="shared" si="9"/>
        <v>665</v>
      </c>
      <c r="F83" s="258">
        <f t="shared" si="12"/>
        <v>540</v>
      </c>
      <c r="G83" s="259">
        <f t="shared" si="10"/>
        <v>665</v>
      </c>
      <c r="H83" s="411">
        <f t="shared" si="11"/>
        <v>123.14814814814814</v>
      </c>
    </row>
    <row r="84" spans="1:8" s="107" customFormat="1" ht="14.25">
      <c r="A84" s="104">
        <v>9</v>
      </c>
      <c r="B84" s="222" t="s">
        <v>336</v>
      </c>
      <c r="C84" s="105">
        <v>1</v>
      </c>
      <c r="D84" s="215">
        <v>540</v>
      </c>
      <c r="E84" s="247">
        <f t="shared" si="9"/>
        <v>665</v>
      </c>
      <c r="F84" s="258">
        <f t="shared" si="12"/>
        <v>540</v>
      </c>
      <c r="G84" s="259">
        <f t="shared" si="10"/>
        <v>665</v>
      </c>
      <c r="H84" s="411">
        <f t="shared" si="11"/>
        <v>123.14814814814814</v>
      </c>
    </row>
    <row r="85" spans="1:8" ht="14.25">
      <c r="A85" s="104">
        <v>10</v>
      </c>
      <c r="B85" s="222" t="s">
        <v>317</v>
      </c>
      <c r="C85" s="105">
        <v>1</v>
      </c>
      <c r="D85" s="215">
        <v>540</v>
      </c>
      <c r="E85" s="247">
        <f t="shared" si="9"/>
        <v>665</v>
      </c>
      <c r="F85" s="258">
        <f t="shared" si="12"/>
        <v>540</v>
      </c>
      <c r="G85" s="259">
        <f t="shared" si="10"/>
        <v>665</v>
      </c>
      <c r="H85" s="411">
        <f t="shared" si="11"/>
        <v>123.14814814814814</v>
      </c>
    </row>
    <row r="86" spans="1:8" ht="14.25">
      <c r="A86" s="104">
        <v>11</v>
      </c>
      <c r="B86" s="222" t="s">
        <v>180</v>
      </c>
      <c r="C86" s="105">
        <v>1</v>
      </c>
      <c r="D86" s="215">
        <v>540</v>
      </c>
      <c r="E86" s="247">
        <f t="shared" si="9"/>
        <v>665</v>
      </c>
      <c r="F86" s="258">
        <f t="shared" si="12"/>
        <v>540</v>
      </c>
      <c r="G86" s="259">
        <f t="shared" si="10"/>
        <v>665</v>
      </c>
      <c r="H86" s="411">
        <f t="shared" si="11"/>
        <v>123.14814814814814</v>
      </c>
    </row>
    <row r="87" spans="1:8" ht="14.25">
      <c r="A87" s="104">
        <v>12</v>
      </c>
      <c r="B87" s="222" t="s">
        <v>181</v>
      </c>
      <c r="C87" s="105">
        <v>1</v>
      </c>
      <c r="D87" s="215">
        <v>540</v>
      </c>
      <c r="E87" s="247">
        <f t="shared" si="9"/>
        <v>665</v>
      </c>
      <c r="F87" s="258">
        <f t="shared" si="12"/>
        <v>540</v>
      </c>
      <c r="G87" s="259">
        <f t="shared" si="10"/>
        <v>665</v>
      </c>
      <c r="H87" s="411">
        <f t="shared" si="11"/>
        <v>123.14814814814814</v>
      </c>
    </row>
    <row r="88" spans="1:8" ht="14.25">
      <c r="A88" s="104">
        <v>13</v>
      </c>
      <c r="B88" s="428" t="s">
        <v>219</v>
      </c>
      <c r="C88" s="418">
        <v>1</v>
      </c>
      <c r="D88" s="414">
        <v>510</v>
      </c>
      <c r="E88" s="409">
        <v>635</v>
      </c>
      <c r="F88" s="415">
        <f t="shared" si="12"/>
        <v>510</v>
      </c>
      <c r="G88" s="416">
        <f t="shared" si="10"/>
        <v>635</v>
      </c>
      <c r="H88" s="411">
        <f t="shared" si="11"/>
        <v>124.50980392156863</v>
      </c>
    </row>
    <row r="89" spans="1:8" ht="15" thickBot="1">
      <c r="A89" s="104">
        <v>14</v>
      </c>
      <c r="B89" s="294" t="s">
        <v>182</v>
      </c>
      <c r="C89" s="295">
        <v>1</v>
      </c>
      <c r="D89" s="296">
        <v>540</v>
      </c>
      <c r="E89" s="265">
        <f t="shared" si="9"/>
        <v>665</v>
      </c>
      <c r="F89" s="258">
        <f t="shared" si="12"/>
        <v>540</v>
      </c>
      <c r="G89" s="259">
        <f t="shared" si="10"/>
        <v>665</v>
      </c>
      <c r="H89" s="411">
        <f t="shared" si="11"/>
        <v>123.14814814814814</v>
      </c>
    </row>
    <row r="90" spans="1:8" ht="16.5" thickBot="1">
      <c r="A90" s="289"/>
      <c r="B90" s="267" t="s">
        <v>100</v>
      </c>
      <c r="C90" s="289">
        <f>SUM(C76:C89)</f>
        <v>14</v>
      </c>
      <c r="D90" s="253" t="s">
        <v>12</v>
      </c>
      <c r="E90" s="253" t="s">
        <v>12</v>
      </c>
      <c r="F90" s="269">
        <f>SUM(F76:F89)</f>
        <v>7690</v>
      </c>
      <c r="G90" s="270">
        <f>SUM(G76:G89)</f>
        <v>9440</v>
      </c>
    </row>
    <row r="91" spans="1:8" s="111" customFormat="1" ht="15">
      <c r="A91" s="795" t="s">
        <v>183</v>
      </c>
      <c r="B91" s="797" t="s">
        <v>184</v>
      </c>
      <c r="C91" s="798"/>
      <c r="D91" s="798"/>
      <c r="E91" s="798"/>
      <c r="F91" s="798"/>
      <c r="G91" s="799"/>
      <c r="H91" s="411"/>
    </row>
    <row r="92" spans="1:8" s="111" customFormat="1" ht="15.75" thickBot="1">
      <c r="A92" s="796"/>
      <c r="B92" s="800" t="s">
        <v>185</v>
      </c>
      <c r="C92" s="801"/>
      <c r="D92" s="801"/>
      <c r="E92" s="801"/>
      <c r="F92" s="801"/>
      <c r="G92" s="802"/>
      <c r="H92" s="411"/>
    </row>
    <row r="93" spans="1:8" ht="14.25">
      <c r="A93" s="104">
        <v>1</v>
      </c>
      <c r="B93" s="299" t="s">
        <v>186</v>
      </c>
      <c r="C93" s="277">
        <v>1</v>
      </c>
      <c r="D93" s="292">
        <v>750</v>
      </c>
      <c r="E93" s="292">
        <f t="shared" ref="E93:E101" si="13">D93+125</f>
        <v>875</v>
      </c>
      <c r="F93" s="258">
        <f>D93*C93</f>
        <v>750</v>
      </c>
      <c r="G93" s="259">
        <f t="shared" ref="G93:G101" si="14">E93*C93</f>
        <v>875</v>
      </c>
      <c r="H93" s="411">
        <f t="shared" ref="H93:H98" si="15">E93/D93%</f>
        <v>116.66666666666667</v>
      </c>
    </row>
    <row r="94" spans="1:8" s="86" customFormat="1" ht="14.25">
      <c r="A94" s="87">
        <v>2</v>
      </c>
      <c r="B94" s="222" t="s">
        <v>337</v>
      </c>
      <c r="C94" s="85">
        <v>1</v>
      </c>
      <c r="D94" s="247">
        <v>630</v>
      </c>
      <c r="E94" s="247">
        <f t="shared" si="13"/>
        <v>755</v>
      </c>
      <c r="F94" s="258">
        <f t="shared" ref="F94:F101" si="16">D94*C94</f>
        <v>630</v>
      </c>
      <c r="G94" s="259">
        <f t="shared" si="14"/>
        <v>755</v>
      </c>
      <c r="H94" s="411">
        <f t="shared" si="15"/>
        <v>119.84126984126985</v>
      </c>
    </row>
    <row r="95" spans="1:8" ht="14.25">
      <c r="A95" s="104">
        <v>3</v>
      </c>
      <c r="B95" s="222" t="s">
        <v>19</v>
      </c>
      <c r="C95" s="105">
        <v>1</v>
      </c>
      <c r="D95" s="247">
        <v>750</v>
      </c>
      <c r="E95" s="247">
        <f t="shared" si="13"/>
        <v>875</v>
      </c>
      <c r="F95" s="258">
        <f t="shared" si="16"/>
        <v>750</v>
      </c>
      <c r="G95" s="259">
        <f t="shared" si="14"/>
        <v>875</v>
      </c>
      <c r="H95" s="411">
        <f t="shared" si="15"/>
        <v>116.66666666666667</v>
      </c>
    </row>
    <row r="96" spans="1:8" ht="14.25">
      <c r="A96" s="104">
        <v>4</v>
      </c>
      <c r="B96" s="222" t="s">
        <v>20</v>
      </c>
      <c r="C96" s="105">
        <v>1</v>
      </c>
      <c r="D96" s="247">
        <v>630</v>
      </c>
      <c r="E96" s="247">
        <f t="shared" si="13"/>
        <v>755</v>
      </c>
      <c r="F96" s="258">
        <f t="shared" si="16"/>
        <v>630</v>
      </c>
      <c r="G96" s="259">
        <f t="shared" si="14"/>
        <v>755</v>
      </c>
      <c r="H96" s="411">
        <f t="shared" si="15"/>
        <v>119.84126984126985</v>
      </c>
    </row>
    <row r="97" spans="1:8" s="106" customFormat="1" ht="14.25">
      <c r="A97" s="104">
        <v>5</v>
      </c>
      <c r="B97" s="222" t="s">
        <v>21</v>
      </c>
      <c r="C97" s="105">
        <v>4</v>
      </c>
      <c r="D97" s="247">
        <v>580</v>
      </c>
      <c r="E97" s="247">
        <f t="shared" si="13"/>
        <v>705</v>
      </c>
      <c r="F97" s="258">
        <f t="shared" si="16"/>
        <v>2320</v>
      </c>
      <c r="G97" s="259">
        <f t="shared" si="14"/>
        <v>2820</v>
      </c>
      <c r="H97" s="411">
        <f t="shared" si="15"/>
        <v>121.55172413793103</v>
      </c>
    </row>
    <row r="98" spans="1:8" s="106" customFormat="1" ht="14.25">
      <c r="A98" s="104">
        <v>6</v>
      </c>
      <c r="B98" s="222" t="s">
        <v>187</v>
      </c>
      <c r="C98" s="105">
        <v>20</v>
      </c>
      <c r="D98" s="247">
        <v>490</v>
      </c>
      <c r="E98" s="247">
        <f t="shared" si="13"/>
        <v>615</v>
      </c>
      <c r="F98" s="258">
        <f t="shared" si="16"/>
        <v>9800</v>
      </c>
      <c r="G98" s="259">
        <f t="shared" si="14"/>
        <v>12300</v>
      </c>
      <c r="H98" s="411">
        <f t="shared" si="15"/>
        <v>125.51020408163265</v>
      </c>
    </row>
    <row r="99" spans="1:8" ht="14.25">
      <c r="A99" s="104">
        <v>6</v>
      </c>
      <c r="B99" s="429" t="s">
        <v>187</v>
      </c>
      <c r="C99" s="417">
        <v>2</v>
      </c>
      <c r="D99" s="409">
        <v>490</v>
      </c>
      <c r="E99" s="409">
        <v>615</v>
      </c>
      <c r="F99" s="415">
        <f t="shared" si="16"/>
        <v>980</v>
      </c>
      <c r="G99" s="416">
        <f t="shared" si="14"/>
        <v>1230</v>
      </c>
    </row>
    <row r="100" spans="1:8" ht="14.25">
      <c r="A100" s="104">
        <v>7</v>
      </c>
      <c r="B100" s="222" t="s">
        <v>188</v>
      </c>
      <c r="C100" s="105">
        <v>12</v>
      </c>
      <c r="D100" s="247">
        <v>490</v>
      </c>
      <c r="E100" s="247">
        <f t="shared" si="13"/>
        <v>615</v>
      </c>
      <c r="F100" s="258">
        <f t="shared" si="16"/>
        <v>5880</v>
      </c>
      <c r="G100" s="259">
        <f t="shared" si="14"/>
        <v>7380</v>
      </c>
      <c r="H100" s="411">
        <f>E100/D100%</f>
        <v>125.51020408163265</v>
      </c>
    </row>
    <row r="101" spans="1:8" ht="15" thickBot="1">
      <c r="A101" s="293">
        <v>8</v>
      </c>
      <c r="B101" s="294" t="s">
        <v>22</v>
      </c>
      <c r="C101" s="295">
        <v>1</v>
      </c>
      <c r="D101" s="265">
        <v>450</v>
      </c>
      <c r="E101" s="265">
        <f t="shared" si="13"/>
        <v>575</v>
      </c>
      <c r="F101" s="258">
        <f t="shared" si="16"/>
        <v>450</v>
      </c>
      <c r="G101" s="259">
        <f t="shared" si="14"/>
        <v>575</v>
      </c>
      <c r="H101" s="411">
        <f>E101/D101%</f>
        <v>127.77777777777777</v>
      </c>
    </row>
    <row r="102" spans="1:8" ht="16.5" thickBot="1">
      <c r="A102" s="266"/>
      <c r="B102" s="267" t="s">
        <v>100</v>
      </c>
      <c r="C102" s="289">
        <f>SUM(C93:C101)</f>
        <v>43</v>
      </c>
      <c r="D102" s="253" t="s">
        <v>12</v>
      </c>
      <c r="E102" s="253" t="s">
        <v>12</v>
      </c>
      <c r="F102" s="269">
        <f>SUM(F93:F101)</f>
        <v>22190</v>
      </c>
      <c r="G102" s="270">
        <f>SUM(G93:G101)</f>
        <v>27565</v>
      </c>
    </row>
    <row r="103" spans="1:8" ht="15.75" thickBot="1">
      <c r="A103" s="300" t="s">
        <v>189</v>
      </c>
      <c r="B103" s="792" t="s">
        <v>190</v>
      </c>
      <c r="C103" s="793"/>
      <c r="D103" s="793"/>
      <c r="E103" s="793"/>
      <c r="F103" s="793"/>
      <c r="G103" s="794"/>
    </row>
    <row r="104" spans="1:8" ht="14.25">
      <c r="A104" s="102">
        <v>1</v>
      </c>
      <c r="B104" s="301" t="s">
        <v>28</v>
      </c>
      <c r="C104" s="277">
        <v>1</v>
      </c>
      <c r="D104" s="291">
        <v>700</v>
      </c>
      <c r="E104" s="292">
        <f>D104+125</f>
        <v>825</v>
      </c>
      <c r="F104" s="258">
        <f>D104*C104</f>
        <v>700</v>
      </c>
      <c r="G104" s="259">
        <f>E104*C104</f>
        <v>825</v>
      </c>
      <c r="H104" s="411">
        <f>E104/D104%</f>
        <v>117.85714285714286</v>
      </c>
    </row>
    <row r="105" spans="1:8" ht="15" thickBot="1">
      <c r="A105" s="261">
        <v>2</v>
      </c>
      <c r="B105" s="297" t="s">
        <v>14</v>
      </c>
      <c r="C105" s="295">
        <v>1</v>
      </c>
      <c r="D105" s="298">
        <v>540</v>
      </c>
      <c r="E105" s="265">
        <f>D105+125</f>
        <v>665</v>
      </c>
      <c r="F105" s="258">
        <f>D105*C105</f>
        <v>540</v>
      </c>
      <c r="G105" s="259">
        <f>E105*C105</f>
        <v>665</v>
      </c>
      <c r="H105" s="411">
        <f>E105/D105%</f>
        <v>123.14814814814814</v>
      </c>
    </row>
    <row r="106" spans="1:8" ht="16.5" thickBot="1">
      <c r="A106" s="266"/>
      <c r="B106" s="267" t="s">
        <v>100</v>
      </c>
      <c r="C106" s="289">
        <v>2</v>
      </c>
      <c r="D106" s="253" t="s">
        <v>12</v>
      </c>
      <c r="E106" s="253" t="s">
        <v>12</v>
      </c>
      <c r="F106" s="269">
        <f>SUM(F104:F105)</f>
        <v>1240</v>
      </c>
      <c r="G106" s="270">
        <f>SUM(G104:G105)</f>
        <v>1490</v>
      </c>
    </row>
    <row r="107" spans="1:8" s="99" customFormat="1" ht="15.75" thickBot="1">
      <c r="A107" s="792" t="s">
        <v>191</v>
      </c>
      <c r="B107" s="793"/>
      <c r="C107" s="793"/>
      <c r="D107" s="793"/>
      <c r="E107" s="793"/>
      <c r="F107" s="793"/>
      <c r="G107" s="794"/>
      <c r="H107" s="411"/>
    </row>
    <row r="108" spans="1:8" ht="14.25">
      <c r="A108" s="285">
        <v>1</v>
      </c>
      <c r="B108" s="290" t="s">
        <v>23</v>
      </c>
      <c r="C108" s="277">
        <v>1</v>
      </c>
      <c r="D108" s="291">
        <v>580</v>
      </c>
      <c r="E108" s="292">
        <f>D108+125</f>
        <v>705</v>
      </c>
      <c r="F108" s="258">
        <f>D108*C108</f>
        <v>580</v>
      </c>
      <c r="G108" s="259">
        <f>E108*C108</f>
        <v>705</v>
      </c>
      <c r="H108" s="411">
        <f>E108/D108%</f>
        <v>121.55172413793103</v>
      </c>
    </row>
    <row r="109" spans="1:8" ht="15" thickBot="1">
      <c r="A109" s="104">
        <v>2</v>
      </c>
      <c r="B109" s="114" t="s">
        <v>24</v>
      </c>
      <c r="C109" s="104">
        <v>2</v>
      </c>
      <c r="D109" s="228">
        <v>490</v>
      </c>
      <c r="E109" s="247">
        <f>D109+125</f>
        <v>615</v>
      </c>
      <c r="F109" s="258">
        <f>D109*C109</f>
        <v>980</v>
      </c>
      <c r="G109" s="259">
        <f>E109*C109</f>
        <v>1230</v>
      </c>
      <c r="H109" s="411">
        <f>E109/D109%</f>
        <v>125.51020408163265</v>
      </c>
    </row>
    <row r="110" spans="1:8" s="101" customFormat="1" ht="16.5" thickBot="1">
      <c r="A110" s="286"/>
      <c r="B110" s="279" t="s">
        <v>100</v>
      </c>
      <c r="C110" s="280">
        <f>SUM(C108:C109)</f>
        <v>3</v>
      </c>
      <c r="D110" s="281" t="s">
        <v>12</v>
      </c>
      <c r="E110" s="281" t="s">
        <v>12</v>
      </c>
      <c r="F110" s="282">
        <f>SUM(F108:F109)</f>
        <v>1560</v>
      </c>
      <c r="G110" s="282">
        <f>SUM(G108:G109)</f>
        <v>1935</v>
      </c>
      <c r="H110" s="411"/>
    </row>
    <row r="111" spans="1:8" s="99" customFormat="1" ht="15.75" thickBot="1">
      <c r="A111" s="792" t="s">
        <v>319</v>
      </c>
      <c r="B111" s="793"/>
      <c r="C111" s="793"/>
      <c r="D111" s="793"/>
      <c r="E111" s="793"/>
      <c r="F111" s="793"/>
      <c r="G111" s="794"/>
      <c r="H111" s="411"/>
    </row>
    <row r="112" spans="1:8" ht="14.25">
      <c r="A112" s="285">
        <v>1</v>
      </c>
      <c r="B112" s="290" t="s">
        <v>320</v>
      </c>
      <c r="C112" s="277">
        <v>1</v>
      </c>
      <c r="D112" s="291">
        <v>800</v>
      </c>
      <c r="E112" s="292">
        <f>D112+125</f>
        <v>925</v>
      </c>
      <c r="F112" s="258">
        <f>D112*C112</f>
        <v>800</v>
      </c>
      <c r="G112" s="259">
        <f>E112*C112</f>
        <v>925</v>
      </c>
      <c r="H112" s="411">
        <f>E112/D112%</f>
        <v>115.625</v>
      </c>
    </row>
    <row r="113" spans="1:13" ht="14.25">
      <c r="A113" s="104">
        <v>2</v>
      </c>
      <c r="B113" s="114" t="s">
        <v>321</v>
      </c>
      <c r="C113" s="104">
        <v>1</v>
      </c>
      <c r="D113" s="228">
        <v>500</v>
      </c>
      <c r="E113" s="247">
        <f>D113+125</f>
        <v>625</v>
      </c>
      <c r="F113" s="258">
        <f>D113*C113</f>
        <v>500</v>
      </c>
      <c r="G113" s="259">
        <f>E113*C113</f>
        <v>625</v>
      </c>
      <c r="H113" s="411">
        <f>E113/D113%</f>
        <v>125</v>
      </c>
      <c r="M113" s="100">
        <v>1113300</v>
      </c>
    </row>
    <row r="114" spans="1:13" ht="15" thickBot="1">
      <c r="A114" s="104">
        <v>3</v>
      </c>
      <c r="B114" s="114" t="s">
        <v>322</v>
      </c>
      <c r="C114" s="104">
        <v>1</v>
      </c>
      <c r="D114" s="228">
        <v>500</v>
      </c>
      <c r="E114" s="247">
        <f>D114+125</f>
        <v>625</v>
      </c>
      <c r="F114" s="258">
        <f>D114*C114</f>
        <v>500</v>
      </c>
      <c r="G114" s="259">
        <f>E114*C114</f>
        <v>625</v>
      </c>
      <c r="H114" s="411">
        <f>E114/D114%</f>
        <v>125</v>
      </c>
      <c r="M114" s="100">
        <v>77340</v>
      </c>
    </row>
    <row r="115" spans="1:13" s="101" customFormat="1" ht="16.5" thickBot="1">
      <c r="A115" s="286"/>
      <c r="B115" s="279" t="s">
        <v>100</v>
      </c>
      <c r="C115" s="280">
        <f>SUM(C112:C114)</f>
        <v>3</v>
      </c>
      <c r="D115" s="281" t="s">
        <v>12</v>
      </c>
      <c r="E115" s="281" t="s">
        <v>12</v>
      </c>
      <c r="F115" s="269">
        <f>SUM(F112:F114)</f>
        <v>1800</v>
      </c>
      <c r="G115" s="269">
        <f>SUM(G112:G114)</f>
        <v>2175</v>
      </c>
      <c r="H115" s="411"/>
      <c r="J115" s="100"/>
      <c r="M115" s="101">
        <v>62330</v>
      </c>
    </row>
    <row r="116" spans="1:13" s="118" customFormat="1" ht="16.5" thickBot="1">
      <c r="A116" s="287"/>
      <c r="B116" s="288" t="s">
        <v>53</v>
      </c>
      <c r="C116" s="289">
        <f>C30+C35+C74+C90+C102+C106+C110+C115</f>
        <v>139</v>
      </c>
      <c r="D116" s="253" t="s">
        <v>12</v>
      </c>
      <c r="E116" s="253" t="s">
        <v>12</v>
      </c>
      <c r="F116" s="269">
        <f>F115+F110+F106+F102+F90+F74+F35+F30</f>
        <v>80510</v>
      </c>
      <c r="G116" s="269">
        <f>G115+G110+G106+G102+G90+G74+G35+G30</f>
        <v>97920</v>
      </c>
      <c r="H116" s="411"/>
      <c r="I116" s="513">
        <f>F116*3+G116*9</f>
        <v>1122810</v>
      </c>
      <c r="J116" s="513">
        <v>80510</v>
      </c>
      <c r="M116" s="118">
        <f>SUM(M113:M115)</f>
        <v>1252970</v>
      </c>
    </row>
    <row r="117" spans="1:13" s="118" customFormat="1" ht="15.75">
      <c r="A117" s="402"/>
      <c r="B117" s="402"/>
      <c r="C117" s="403"/>
      <c r="D117" s="404"/>
      <c r="E117" s="404"/>
      <c r="F117" s="788">
        <f>G116-F116</f>
        <v>17410</v>
      </c>
      <c r="G117" s="788"/>
      <c r="H117" s="412"/>
      <c r="I117" s="525">
        <f>80510-F116</f>
        <v>0</v>
      </c>
    </row>
    <row r="118" spans="1:13" s="99" customFormat="1" ht="15">
      <c r="A118" s="100"/>
      <c r="B118" s="100"/>
      <c r="C118" s="101"/>
      <c r="D118" s="203"/>
      <c r="E118" s="203"/>
      <c r="H118" s="410"/>
      <c r="I118" s="523">
        <f>80510-F116</f>
        <v>0</v>
      </c>
      <c r="M118" s="523">
        <f>I116+I128</f>
        <v>1172460</v>
      </c>
    </row>
    <row r="119" spans="1:13" ht="19.5" thickBot="1">
      <c r="A119" s="803" t="s">
        <v>348</v>
      </c>
      <c r="B119" s="803"/>
      <c r="C119" s="803"/>
      <c r="D119" s="803"/>
      <c r="E119" s="803"/>
      <c r="F119" s="803"/>
      <c r="G119" s="803"/>
      <c r="M119" s="524">
        <f>M116-M118</f>
        <v>80510</v>
      </c>
    </row>
    <row r="120" spans="1:13" s="99" customFormat="1" ht="28.5" customHeight="1" thickBot="1">
      <c r="A120" s="790" t="s">
        <v>0</v>
      </c>
      <c r="B120" s="790" t="s">
        <v>201</v>
      </c>
      <c r="C120" s="752" t="s">
        <v>2</v>
      </c>
      <c r="D120" s="519" t="s">
        <v>350</v>
      </c>
      <c r="E120" s="519" t="s">
        <v>352</v>
      </c>
      <c r="F120" s="781" t="s">
        <v>359</v>
      </c>
      <c r="G120" s="783" t="s">
        <v>356</v>
      </c>
      <c r="H120" s="410"/>
    </row>
    <row r="121" spans="1:13" s="99" customFormat="1" ht="45.75" thickBot="1">
      <c r="A121" s="791"/>
      <c r="B121" s="791"/>
      <c r="C121" s="753"/>
      <c r="D121" s="252" t="s">
        <v>353</v>
      </c>
      <c r="E121" s="252" t="s">
        <v>353</v>
      </c>
      <c r="F121" s="782"/>
      <c r="G121" s="784"/>
      <c r="H121" s="410"/>
    </row>
    <row r="122" spans="1:13" s="113" customFormat="1" ht="14.25">
      <c r="A122" s="413">
        <v>1</v>
      </c>
      <c r="B122" s="235" t="s">
        <v>25</v>
      </c>
      <c r="C122" s="413">
        <v>2</v>
      </c>
      <c r="D122" s="409">
        <v>490</v>
      </c>
      <c r="E122" s="409"/>
      <c r="F122" s="415">
        <f t="shared" ref="F122:F127" si="17">D122*C122</f>
        <v>980</v>
      </c>
      <c r="G122" s="416">
        <f t="shared" ref="G122:G127" si="18">E122*C122</f>
        <v>0</v>
      </c>
      <c r="H122" s="785" t="s">
        <v>126</v>
      </c>
      <c r="J122" s="237" t="s">
        <v>346</v>
      </c>
    </row>
    <row r="123" spans="1:13" ht="14.25">
      <c r="A123" s="417">
        <v>2</v>
      </c>
      <c r="B123" s="234" t="s">
        <v>192</v>
      </c>
      <c r="C123" s="418">
        <v>1</v>
      </c>
      <c r="D123" s="409">
        <v>660</v>
      </c>
      <c r="E123" s="409"/>
      <c r="F123" s="415">
        <f t="shared" si="17"/>
        <v>660</v>
      </c>
      <c r="G123" s="416">
        <f t="shared" si="18"/>
        <v>0</v>
      </c>
      <c r="H123" s="786"/>
      <c r="J123" s="236" t="s">
        <v>347</v>
      </c>
    </row>
    <row r="124" spans="1:13" ht="24">
      <c r="A124" s="417">
        <v>3</v>
      </c>
      <c r="B124" s="234" t="s">
        <v>199</v>
      </c>
      <c r="C124" s="418">
        <v>1</v>
      </c>
      <c r="D124" s="409">
        <v>510</v>
      </c>
      <c r="E124" s="409"/>
      <c r="F124" s="415">
        <f t="shared" si="17"/>
        <v>510</v>
      </c>
      <c r="G124" s="416">
        <f t="shared" si="18"/>
        <v>0</v>
      </c>
      <c r="H124" s="786"/>
      <c r="J124" s="236" t="s">
        <v>345</v>
      </c>
    </row>
    <row r="125" spans="1:13" ht="14.25">
      <c r="A125" s="417">
        <v>4</v>
      </c>
      <c r="B125" s="234" t="s">
        <v>194</v>
      </c>
      <c r="C125" s="418">
        <v>1</v>
      </c>
      <c r="D125" s="409">
        <v>510</v>
      </c>
      <c r="E125" s="409"/>
      <c r="F125" s="415">
        <f t="shared" si="17"/>
        <v>510</v>
      </c>
      <c r="G125" s="416">
        <f t="shared" si="18"/>
        <v>0</v>
      </c>
      <c r="H125" s="786"/>
    </row>
    <row r="126" spans="1:13" ht="15" thickBot="1">
      <c r="A126" s="417">
        <v>5</v>
      </c>
      <c r="B126" s="234" t="s">
        <v>219</v>
      </c>
      <c r="C126" s="418">
        <v>1</v>
      </c>
      <c r="D126" s="409">
        <v>510</v>
      </c>
      <c r="E126" s="409"/>
      <c r="F126" s="415">
        <f t="shared" si="17"/>
        <v>510</v>
      </c>
      <c r="G126" s="416">
        <f t="shared" si="18"/>
        <v>0</v>
      </c>
      <c r="H126" s="787"/>
    </row>
    <row r="127" spans="1:13" ht="15" thickBot="1">
      <c r="A127" s="295">
        <v>6</v>
      </c>
      <c r="B127" s="304" t="s">
        <v>323</v>
      </c>
      <c r="C127" s="305">
        <v>6</v>
      </c>
      <c r="D127" s="265">
        <v>550</v>
      </c>
      <c r="E127" s="265">
        <f t="shared" ref="E127" si="19">D127+125</f>
        <v>675</v>
      </c>
      <c r="F127" s="258">
        <f t="shared" si="17"/>
        <v>3300</v>
      </c>
      <c r="G127" s="259">
        <f t="shared" si="18"/>
        <v>4050</v>
      </c>
    </row>
    <row r="128" spans="1:13" ht="16.5" thickBot="1">
      <c r="A128" s="306"/>
      <c r="B128" s="307" t="s">
        <v>100</v>
      </c>
      <c r="C128" s="289">
        <f>SUM(C122:C127)</f>
        <v>12</v>
      </c>
      <c r="D128" s="253" t="s">
        <v>12</v>
      </c>
      <c r="E128" s="253" t="s">
        <v>12</v>
      </c>
      <c r="F128" s="308">
        <f>SUM(F122:F127)</f>
        <v>6470</v>
      </c>
      <c r="G128" s="308">
        <f>SUM(G122:G127)</f>
        <v>4050</v>
      </c>
      <c r="I128" s="513">
        <f>F127*3+G127*9+F127</f>
        <v>49650</v>
      </c>
    </row>
    <row r="129" spans="5:7">
      <c r="F129" s="788">
        <f>G128-F128</f>
        <v>-2420</v>
      </c>
      <c r="G129" s="788"/>
    </row>
    <row r="130" spans="5:7" ht="15.75" customHeight="1">
      <c r="E130" s="518" t="s">
        <v>357</v>
      </c>
      <c r="F130" s="789">
        <f>F117+F129</f>
        <v>14990</v>
      </c>
      <c r="G130" s="780"/>
    </row>
    <row r="131" spans="5:7" ht="15.75" customHeight="1">
      <c r="E131" s="518" t="s">
        <v>358</v>
      </c>
      <c r="F131" s="780">
        <f>F130*12</f>
        <v>179880</v>
      </c>
      <c r="G131" s="780"/>
    </row>
  </sheetData>
  <mergeCells count="27">
    <mergeCell ref="A1:G2"/>
    <mergeCell ref="A3:A4"/>
    <mergeCell ref="B3:B4"/>
    <mergeCell ref="C3:C4"/>
    <mergeCell ref="F3:F4"/>
    <mergeCell ref="G3:G4"/>
    <mergeCell ref="A120:A121"/>
    <mergeCell ref="B120:B121"/>
    <mergeCell ref="C120:C121"/>
    <mergeCell ref="A5:G5"/>
    <mergeCell ref="B31:G31"/>
    <mergeCell ref="B36:G36"/>
    <mergeCell ref="B75:G75"/>
    <mergeCell ref="A91:A92"/>
    <mergeCell ref="B91:G91"/>
    <mergeCell ref="B92:G92"/>
    <mergeCell ref="B103:G103"/>
    <mergeCell ref="A107:G107"/>
    <mergeCell ref="A111:G111"/>
    <mergeCell ref="F117:G117"/>
    <mergeCell ref="A119:G119"/>
    <mergeCell ref="F131:G131"/>
    <mergeCell ref="F120:F121"/>
    <mergeCell ref="G120:G121"/>
    <mergeCell ref="H122:H126"/>
    <mergeCell ref="F129:G129"/>
    <mergeCell ref="F130:G13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view="pageBreakPreview" zoomScaleSheetLayoutView="100" workbookViewId="0">
      <selection activeCell="H11" sqref="H11"/>
    </sheetView>
  </sheetViews>
  <sheetFormatPr defaultRowHeight="15.75"/>
  <cols>
    <col min="1" max="1" width="4.28515625" customWidth="1"/>
    <col min="2" max="2" width="37.5703125" customWidth="1"/>
    <col min="3" max="3" width="16.85546875" style="22" customWidth="1"/>
    <col min="4" max="4" width="13.85546875" customWidth="1"/>
    <col min="5" max="5" width="13.28515625" customWidth="1"/>
    <col min="6" max="6" width="19.85546875" customWidth="1"/>
    <col min="8" max="8" width="28.28515625" customWidth="1"/>
    <col min="9" max="9" width="9.28515625" bestFit="1" customWidth="1"/>
    <col min="16" max="17" width="9.85546875" bestFit="1" customWidth="1"/>
  </cols>
  <sheetData>
    <row r="1" spans="1:17" ht="37.5" customHeight="1" thickBot="1">
      <c r="A1" s="812" t="s">
        <v>59</v>
      </c>
      <c r="B1" s="812"/>
      <c r="C1" s="812"/>
      <c r="D1" s="812"/>
      <c r="E1" s="812"/>
      <c r="F1" s="812"/>
    </row>
    <row r="2" spans="1:17" ht="37.5" customHeight="1">
      <c r="A2" s="819" t="s">
        <v>29</v>
      </c>
      <c r="B2" s="821" t="s">
        <v>50</v>
      </c>
      <c r="C2" s="815" t="s">
        <v>58</v>
      </c>
      <c r="D2" s="813" t="s">
        <v>54</v>
      </c>
      <c r="E2" s="814"/>
      <c r="F2" s="817" t="s">
        <v>38</v>
      </c>
    </row>
    <row r="3" spans="1:17" ht="74.25" customHeight="1">
      <c r="A3" s="820"/>
      <c r="B3" s="822"/>
      <c r="C3" s="816"/>
      <c r="D3" s="17" t="s">
        <v>56</v>
      </c>
      <c r="E3" s="27" t="s">
        <v>55</v>
      </c>
      <c r="F3" s="818"/>
    </row>
    <row r="4" spans="1:17" ht="36" customHeight="1">
      <c r="A4" s="36">
        <v>1</v>
      </c>
      <c r="B4" s="19" t="s">
        <v>41</v>
      </c>
      <c r="C4" s="28">
        <v>2373844</v>
      </c>
      <c r="D4" s="16" t="e">
        <f>(#REF!+#REF!)*12+25500</f>
        <v>#REF!</v>
      </c>
      <c r="E4" s="29" t="e">
        <f>C4-D4</f>
        <v>#REF!</v>
      </c>
      <c r="F4" s="23" t="s">
        <v>57</v>
      </c>
      <c r="H4" s="16">
        <f>1513500-25500</f>
        <v>1488000</v>
      </c>
    </row>
    <row r="5" spans="1:17" ht="59.25" customHeight="1">
      <c r="A5" s="37">
        <v>2</v>
      </c>
      <c r="B5" s="18" t="s">
        <v>42</v>
      </c>
      <c r="C5" s="30">
        <v>3841040</v>
      </c>
      <c r="D5" s="11" t="e">
        <f>#REF!*12</f>
        <v>#REF!</v>
      </c>
      <c r="E5" s="29" t="e">
        <f>C5-D5</f>
        <v>#REF!</v>
      </c>
      <c r="F5" s="24"/>
    </row>
    <row r="6" spans="1:17" ht="41.25" customHeight="1">
      <c r="A6" s="37">
        <v>3</v>
      </c>
      <c r="B6" s="18" t="s">
        <v>43</v>
      </c>
      <c r="C6" s="30">
        <v>584020</v>
      </c>
      <c r="D6" s="2" t="e">
        <f>#REF!*12</f>
        <v>#REF!</v>
      </c>
      <c r="E6" s="29" t="e">
        <f t="shared" ref="E6:E14" si="0">C6-D6</f>
        <v>#REF!</v>
      </c>
      <c r="F6" s="24"/>
    </row>
    <row r="7" spans="1:17" ht="42" customHeight="1">
      <c r="A7" s="37">
        <v>4</v>
      </c>
      <c r="B7" s="18" t="s">
        <v>44</v>
      </c>
      <c r="C7" s="30">
        <v>293170</v>
      </c>
      <c r="D7" s="2" t="e">
        <f>#REF!*12</f>
        <v>#REF!</v>
      </c>
      <c r="E7" s="29" t="e">
        <f t="shared" si="0"/>
        <v>#REF!</v>
      </c>
      <c r="F7" s="24"/>
      <c r="H7">
        <f>1493-201</f>
        <v>1292</v>
      </c>
      <c r="I7">
        <v>201</v>
      </c>
    </row>
    <row r="8" spans="1:17" ht="52.5" customHeight="1">
      <c r="A8" s="38">
        <v>5</v>
      </c>
      <c r="B8" s="18" t="s">
        <v>45</v>
      </c>
      <c r="C8" s="30">
        <v>490700</v>
      </c>
      <c r="D8" s="2" t="e">
        <f>#REF!*12</f>
        <v>#REF!</v>
      </c>
      <c r="E8" s="29" t="e">
        <f t="shared" si="0"/>
        <v>#REF!</v>
      </c>
      <c r="F8" s="24"/>
    </row>
    <row r="9" spans="1:17" ht="28.5" customHeight="1">
      <c r="A9" s="37">
        <v>6</v>
      </c>
      <c r="B9" s="18" t="s">
        <v>40</v>
      </c>
      <c r="C9" s="30">
        <v>797916</v>
      </c>
      <c r="D9" s="2" t="e">
        <f>#REF!*12</f>
        <v>#REF!</v>
      </c>
      <c r="E9" s="29" t="e">
        <f t="shared" si="0"/>
        <v>#REF!</v>
      </c>
      <c r="F9" s="24"/>
    </row>
    <row r="10" spans="1:17" ht="27.75" customHeight="1">
      <c r="A10" s="37">
        <v>7</v>
      </c>
      <c r="B10" s="18" t="s">
        <v>46</v>
      </c>
      <c r="C10" s="30">
        <v>114560</v>
      </c>
      <c r="D10" s="2" t="e">
        <f>#REF!*12</f>
        <v>#REF!</v>
      </c>
      <c r="E10" s="29" t="e">
        <f t="shared" si="0"/>
        <v>#REF!</v>
      </c>
      <c r="F10" s="24"/>
    </row>
    <row r="11" spans="1:17" ht="52.5" customHeight="1">
      <c r="A11" s="37">
        <v>8</v>
      </c>
      <c r="B11" s="18" t="s">
        <v>47</v>
      </c>
      <c r="C11" s="30">
        <v>308330</v>
      </c>
      <c r="D11" s="2" t="e">
        <f>#REF!*12</f>
        <v>#REF!</v>
      </c>
      <c r="E11" s="29" t="e">
        <f t="shared" si="0"/>
        <v>#REF!</v>
      </c>
      <c r="F11" s="24"/>
    </row>
    <row r="12" spans="1:17" ht="30" customHeight="1">
      <c r="A12" s="37">
        <v>9</v>
      </c>
      <c r="B12" s="18" t="s">
        <v>48</v>
      </c>
      <c r="C12" s="30">
        <v>296220</v>
      </c>
      <c r="D12" s="2" t="e">
        <f>#REF!*12</f>
        <v>#REF!</v>
      </c>
      <c r="E12" s="29" t="e">
        <f t="shared" si="0"/>
        <v>#REF!</v>
      </c>
      <c r="F12" s="24"/>
      <c r="P12">
        <f>8224980-2189400</f>
        <v>6035580</v>
      </c>
      <c r="Q12">
        <f>477600+1632600+79200</f>
        <v>2189400</v>
      </c>
    </row>
    <row r="13" spans="1:17" ht="30" customHeight="1">
      <c r="A13" s="37">
        <v>10</v>
      </c>
      <c r="B13" s="18" t="s">
        <v>39</v>
      </c>
      <c r="C13" s="30">
        <v>387170</v>
      </c>
      <c r="D13" s="2" t="e">
        <f>#REF!*12</f>
        <v>#REF!</v>
      </c>
      <c r="E13" s="29" t="e">
        <f t="shared" si="0"/>
        <v>#REF!</v>
      </c>
      <c r="F13" s="24"/>
    </row>
    <row r="14" spans="1:17" ht="44.25" customHeight="1">
      <c r="A14" s="39">
        <v>11</v>
      </c>
      <c r="B14" s="20" t="s">
        <v>49</v>
      </c>
      <c r="C14" s="31">
        <v>391400</v>
      </c>
      <c r="D14" s="21" t="e">
        <f>#REF!*12</f>
        <v>#REF!</v>
      </c>
      <c r="E14" s="32" t="e">
        <f t="shared" si="0"/>
        <v>#REF!</v>
      </c>
      <c r="F14" s="25"/>
    </row>
    <row r="15" spans="1:17" s="5" customFormat="1" ht="36.75" customHeight="1" thickBot="1">
      <c r="A15" s="40"/>
      <c r="B15" s="41" t="s">
        <v>53</v>
      </c>
      <c r="C15" s="33">
        <f>SUM(C4:C14)</f>
        <v>9878370</v>
      </c>
      <c r="D15" s="34" t="e">
        <f>SUM(D4:D14)</f>
        <v>#REF!</v>
      </c>
      <c r="E15" s="35" t="e">
        <f>SUM(E4:E14)</f>
        <v>#REF!</v>
      </c>
      <c r="F15" s="26"/>
    </row>
    <row r="17" spans="4:5">
      <c r="D17">
        <f>8224980</f>
        <v>8224980</v>
      </c>
    </row>
    <row r="18" spans="4:5">
      <c r="D18">
        <v>2189400</v>
      </c>
      <c r="E18" s="15"/>
    </row>
    <row r="19" spans="4:5">
      <c r="D19">
        <f>D17-D18</f>
        <v>6035580</v>
      </c>
    </row>
    <row r="20" spans="4:5">
      <c r="D20" s="3" t="e">
        <f>D19-D15</f>
        <v>#REF!</v>
      </c>
    </row>
  </sheetData>
  <mergeCells count="6">
    <mergeCell ref="A1:F1"/>
    <mergeCell ref="D2:E2"/>
    <mergeCell ref="C2:C3"/>
    <mergeCell ref="F2:F3"/>
    <mergeCell ref="A2:A3"/>
    <mergeCell ref="B2:B3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  <colBreaks count="1" manualBreakCount="1">
    <brk id="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view="pageBreakPreview" topLeftCell="A16" zoomScaleSheetLayoutView="100" workbookViewId="0">
      <selection activeCell="K9" sqref="K9"/>
    </sheetView>
  </sheetViews>
  <sheetFormatPr defaultRowHeight="18.75"/>
  <cols>
    <col min="1" max="1" width="4.85546875" customWidth="1"/>
    <col min="2" max="2" width="30" customWidth="1"/>
    <col min="3" max="3" width="11.5703125" customWidth="1"/>
    <col min="4" max="4" width="10" customWidth="1"/>
    <col min="5" max="5" width="13.28515625" customWidth="1"/>
    <col min="6" max="7" width="13.140625" customWidth="1"/>
    <col min="8" max="8" width="14.85546875" style="546" customWidth="1"/>
  </cols>
  <sheetData>
    <row r="1" spans="1:10" ht="27.75" customHeight="1" thickBot="1">
      <c r="A1" s="823" t="s">
        <v>342</v>
      </c>
      <c r="B1" s="824"/>
      <c r="C1" s="824"/>
      <c r="D1" s="824"/>
      <c r="E1" s="824"/>
      <c r="F1" s="824"/>
      <c r="G1" s="824"/>
      <c r="H1" s="824"/>
    </row>
    <row r="2" spans="1:10" ht="51" customHeight="1" thickBot="1">
      <c r="A2" s="825" t="s">
        <v>29</v>
      </c>
      <c r="B2" s="825" t="s">
        <v>1</v>
      </c>
      <c r="C2" s="750" t="s">
        <v>2</v>
      </c>
      <c r="D2" s="758" t="s">
        <v>387</v>
      </c>
      <c r="E2" s="759"/>
      <c r="F2" s="758" t="s">
        <v>388</v>
      </c>
      <c r="G2" s="759"/>
      <c r="H2" s="829" t="s">
        <v>386</v>
      </c>
    </row>
    <row r="3" spans="1:10" ht="74.25" customHeight="1" thickBot="1">
      <c r="A3" s="826"/>
      <c r="B3" s="826"/>
      <c r="C3" s="751"/>
      <c r="D3" s="244" t="s">
        <v>34</v>
      </c>
      <c r="E3" s="245" t="s">
        <v>389</v>
      </c>
      <c r="F3" s="244" t="s">
        <v>353</v>
      </c>
      <c r="G3" s="245" t="s">
        <v>390</v>
      </c>
      <c r="H3" s="830"/>
    </row>
    <row r="4" spans="1:10" ht="27" customHeight="1" thickBot="1">
      <c r="A4" s="547"/>
      <c r="B4" s="517" t="s">
        <v>35</v>
      </c>
      <c r="C4" s="548">
        <f>SUM(C5:C8)</f>
        <v>4</v>
      </c>
      <c r="D4" s="549" t="s">
        <v>12</v>
      </c>
      <c r="E4" s="548">
        <f>SUM(E5:E8)</f>
        <v>11730</v>
      </c>
      <c r="F4" s="549" t="s">
        <v>12</v>
      </c>
      <c r="G4" s="548">
        <f>SUM(G5:G8)</f>
        <v>45540</v>
      </c>
      <c r="H4" s="541">
        <f>SUM(H5:H8)</f>
        <v>57270</v>
      </c>
    </row>
    <row r="5" spans="1:10" ht="29.25" customHeight="1">
      <c r="A5" s="527">
        <v>1</v>
      </c>
      <c r="B5" s="530" t="s">
        <v>26</v>
      </c>
      <c r="C5" s="532">
        <v>1</v>
      </c>
      <c r="D5" s="533">
        <v>1550</v>
      </c>
      <c r="E5" s="534">
        <f>C5*D5*3</f>
        <v>4650</v>
      </c>
      <c r="F5" s="533">
        <v>2200</v>
      </c>
      <c r="G5" s="534">
        <f>C5*F5*9</f>
        <v>19800</v>
      </c>
      <c r="H5" s="542">
        <f>E5+G5</f>
        <v>24450</v>
      </c>
    </row>
    <row r="6" spans="1:10" ht="27.75" customHeight="1">
      <c r="A6" s="528">
        <v>2</v>
      </c>
      <c r="B6" s="530" t="s">
        <v>5</v>
      </c>
      <c r="C6" s="535">
        <v>1</v>
      </c>
      <c r="D6" s="533">
        <v>800</v>
      </c>
      <c r="E6" s="534">
        <f t="shared" ref="E6:E15" si="0">C6*D6*3</f>
        <v>2400</v>
      </c>
      <c r="F6" s="533">
        <v>1300</v>
      </c>
      <c r="G6" s="534">
        <f t="shared" ref="G6:G15" si="1">C6*F6*9</f>
        <v>11700</v>
      </c>
      <c r="H6" s="542">
        <f t="shared" ref="H6:H8" si="2">E6+G6</f>
        <v>14100</v>
      </c>
    </row>
    <row r="7" spans="1:10" ht="29.25" customHeight="1">
      <c r="A7" s="529">
        <v>3</v>
      </c>
      <c r="B7" s="530" t="s">
        <v>6</v>
      </c>
      <c r="C7" s="536">
        <v>1</v>
      </c>
      <c r="D7" s="533">
        <v>1060</v>
      </c>
      <c r="E7" s="534">
        <f t="shared" si="0"/>
        <v>3180</v>
      </c>
      <c r="F7" s="537">
        <v>1060</v>
      </c>
      <c r="G7" s="534">
        <f t="shared" si="1"/>
        <v>9540</v>
      </c>
      <c r="H7" s="542">
        <f t="shared" si="2"/>
        <v>12720</v>
      </c>
    </row>
    <row r="8" spans="1:10" ht="39" customHeight="1" thickBot="1">
      <c r="A8" s="529">
        <v>4</v>
      </c>
      <c r="B8" s="531" t="s">
        <v>366</v>
      </c>
      <c r="C8" s="536">
        <v>1</v>
      </c>
      <c r="D8" s="533">
        <v>500</v>
      </c>
      <c r="E8" s="534">
        <f t="shared" si="0"/>
        <v>1500</v>
      </c>
      <c r="F8" s="537">
        <v>500</v>
      </c>
      <c r="G8" s="534">
        <f t="shared" si="1"/>
        <v>4500</v>
      </c>
      <c r="H8" s="542">
        <f t="shared" si="2"/>
        <v>6000</v>
      </c>
    </row>
    <row r="9" spans="1:10" ht="30.75" customHeight="1" thickBot="1">
      <c r="A9" s="550"/>
      <c r="B9" s="551" t="s">
        <v>36</v>
      </c>
      <c r="C9" s="552">
        <f>SUM(C10:C15)</f>
        <v>14</v>
      </c>
      <c r="D9" s="553" t="s">
        <v>12</v>
      </c>
      <c r="E9" s="552">
        <f>SUM(E10:E15)</f>
        <v>39000</v>
      </c>
      <c r="F9" s="553" t="s">
        <v>12</v>
      </c>
      <c r="G9" s="552">
        <f>SUM(G10:G15)</f>
        <v>155970</v>
      </c>
      <c r="H9" s="543">
        <f>SUM(H10:H15)</f>
        <v>194970</v>
      </c>
    </row>
    <row r="10" spans="1:10" ht="21.75" customHeight="1">
      <c r="A10" s="149">
        <v>3</v>
      </c>
      <c r="B10" s="63" t="s">
        <v>203</v>
      </c>
      <c r="C10" s="400">
        <v>1</v>
      </c>
      <c r="D10" s="533">
        <v>1250</v>
      </c>
      <c r="E10" s="534">
        <f t="shared" si="0"/>
        <v>3750</v>
      </c>
      <c r="F10" s="533">
        <f>D10+650</f>
        <v>1900</v>
      </c>
      <c r="G10" s="534">
        <f t="shared" si="1"/>
        <v>17100</v>
      </c>
      <c r="H10" s="542">
        <f>E10+G10</f>
        <v>20850</v>
      </c>
    </row>
    <row r="11" spans="1:10" ht="21.75" customHeight="1">
      <c r="A11" s="151">
        <v>4</v>
      </c>
      <c r="B11" s="62" t="s">
        <v>204</v>
      </c>
      <c r="C11" s="401">
        <f>2+1</f>
        <v>3</v>
      </c>
      <c r="D11" s="533">
        <v>1100</v>
      </c>
      <c r="E11" s="534">
        <f t="shared" si="0"/>
        <v>9900</v>
      </c>
      <c r="F11" s="533">
        <f>D11+250</f>
        <v>1350</v>
      </c>
      <c r="G11" s="534">
        <f t="shared" si="1"/>
        <v>36450</v>
      </c>
      <c r="H11" s="542">
        <f t="shared" ref="H11:H15" si="3">E11+G11</f>
        <v>46350</v>
      </c>
    </row>
    <row r="12" spans="1:10" ht="21.75" customHeight="1">
      <c r="A12" s="151">
        <v>5</v>
      </c>
      <c r="B12" s="62" t="s">
        <v>204</v>
      </c>
      <c r="C12" s="401">
        <f>2+2</f>
        <v>4</v>
      </c>
      <c r="D12" s="533">
        <v>960</v>
      </c>
      <c r="E12" s="534">
        <f t="shared" si="0"/>
        <v>11520</v>
      </c>
      <c r="F12" s="533">
        <f t="shared" ref="F12:F13" si="4">D12+250</f>
        <v>1210</v>
      </c>
      <c r="G12" s="534">
        <f t="shared" si="1"/>
        <v>43560</v>
      </c>
      <c r="H12" s="542">
        <f t="shared" si="3"/>
        <v>55080</v>
      </c>
    </row>
    <row r="13" spans="1:10" ht="21.75" customHeight="1">
      <c r="A13" s="151">
        <v>6</v>
      </c>
      <c r="B13" s="62" t="s">
        <v>204</v>
      </c>
      <c r="C13" s="401">
        <f>2+2</f>
        <v>4</v>
      </c>
      <c r="D13" s="533">
        <v>840</v>
      </c>
      <c r="E13" s="534">
        <f t="shared" si="0"/>
        <v>10080</v>
      </c>
      <c r="F13" s="533">
        <f t="shared" si="4"/>
        <v>1090</v>
      </c>
      <c r="G13" s="534">
        <f t="shared" si="1"/>
        <v>39240</v>
      </c>
      <c r="H13" s="542">
        <f t="shared" si="3"/>
        <v>49320</v>
      </c>
    </row>
    <row r="14" spans="1:10" ht="21.75" customHeight="1">
      <c r="A14" s="151">
        <v>7</v>
      </c>
      <c r="B14" s="62" t="s">
        <v>205</v>
      </c>
      <c r="C14" s="401">
        <v>1</v>
      </c>
      <c r="D14" s="533">
        <v>700</v>
      </c>
      <c r="E14" s="534">
        <f t="shared" si="0"/>
        <v>2100</v>
      </c>
      <c r="F14" s="533">
        <f>D14+550</f>
        <v>1250</v>
      </c>
      <c r="G14" s="534">
        <f t="shared" si="1"/>
        <v>11250</v>
      </c>
      <c r="H14" s="542">
        <f t="shared" si="3"/>
        <v>13350</v>
      </c>
    </row>
    <row r="15" spans="1:10" ht="21.75" customHeight="1" thickBot="1">
      <c r="A15" s="151">
        <v>8</v>
      </c>
      <c r="B15" s="62" t="s">
        <v>206</v>
      </c>
      <c r="C15" s="401">
        <v>1</v>
      </c>
      <c r="D15" s="533">
        <v>550</v>
      </c>
      <c r="E15" s="534">
        <f t="shared" si="0"/>
        <v>1650</v>
      </c>
      <c r="F15" s="533">
        <f>D15+375+5</f>
        <v>930</v>
      </c>
      <c r="G15" s="534">
        <f t="shared" si="1"/>
        <v>8370</v>
      </c>
      <c r="H15" s="542">
        <f t="shared" si="3"/>
        <v>10020</v>
      </c>
    </row>
    <row r="16" spans="1:10" s="4" customFormat="1" ht="26.25" customHeight="1" thickBot="1">
      <c r="A16" s="550"/>
      <c r="B16" s="551" t="s">
        <v>100</v>
      </c>
      <c r="C16" s="552">
        <f>C9+C4</f>
        <v>18</v>
      </c>
      <c r="D16" s="553" t="s">
        <v>12</v>
      </c>
      <c r="E16" s="552">
        <f>E9+E4</f>
        <v>50730</v>
      </c>
      <c r="F16" s="553" t="s">
        <v>12</v>
      </c>
      <c r="G16" s="552">
        <f>G9+G4</f>
        <v>201510</v>
      </c>
      <c r="H16" s="545">
        <f>H9+H4</f>
        <v>252240</v>
      </c>
      <c r="I16" s="538">
        <f>15350*3</f>
        <v>46050</v>
      </c>
      <c r="J16" s="538">
        <f>22390*9</f>
        <v>201510</v>
      </c>
    </row>
    <row r="17" spans="1:10" ht="39" customHeight="1" thickBot="1">
      <c r="A17" s="823" t="s">
        <v>343</v>
      </c>
      <c r="B17" s="824"/>
      <c r="C17" s="824"/>
      <c r="D17" s="824"/>
      <c r="E17" s="824"/>
      <c r="F17" s="824"/>
      <c r="G17" s="824"/>
      <c r="H17" s="824"/>
    </row>
    <row r="18" spans="1:10" ht="45" customHeight="1" thickBot="1">
      <c r="A18" s="825" t="s">
        <v>29</v>
      </c>
      <c r="B18" s="827" t="s">
        <v>1</v>
      </c>
      <c r="C18" s="752" t="s">
        <v>2</v>
      </c>
      <c r="D18" s="758" t="s">
        <v>387</v>
      </c>
      <c r="E18" s="759"/>
      <c r="F18" s="758" t="s">
        <v>388</v>
      </c>
      <c r="G18" s="759"/>
      <c r="H18" s="829" t="s">
        <v>386</v>
      </c>
    </row>
    <row r="19" spans="1:10" ht="62.25" customHeight="1" thickBot="1">
      <c r="A19" s="826"/>
      <c r="B19" s="828"/>
      <c r="C19" s="753"/>
      <c r="D19" s="244" t="s">
        <v>34</v>
      </c>
      <c r="E19" s="245" t="s">
        <v>389</v>
      </c>
      <c r="F19" s="244" t="s">
        <v>353</v>
      </c>
      <c r="G19" s="245" t="s">
        <v>390</v>
      </c>
      <c r="H19" s="830"/>
    </row>
    <row r="20" spans="1:10" s="406" customFormat="1" ht="27.75" customHeight="1" thickBot="1">
      <c r="A20" s="547"/>
      <c r="B20" s="517" t="s">
        <v>35</v>
      </c>
      <c r="C20" s="548">
        <f>C21+C22+C23+C24</f>
        <v>4</v>
      </c>
      <c r="D20" s="549" t="s">
        <v>12</v>
      </c>
      <c r="E20" s="548">
        <f>SUM(E21:E24)</f>
        <v>10500</v>
      </c>
      <c r="F20" s="549" t="s">
        <v>12</v>
      </c>
      <c r="G20" s="548">
        <f>G21+G22+G23+G24</f>
        <v>45540</v>
      </c>
      <c r="H20" s="541">
        <f>H21+H22+H23+H24</f>
        <v>56040</v>
      </c>
    </row>
    <row r="21" spans="1:10" s="148" customFormat="1" ht="23.25" customHeight="1">
      <c r="A21" s="149">
        <v>1</v>
      </c>
      <c r="B21" s="539" t="s">
        <v>26</v>
      </c>
      <c r="C21" s="521">
        <v>1</v>
      </c>
      <c r="D21" s="533">
        <v>1550</v>
      </c>
      <c r="E21" s="534">
        <f t="shared" ref="E21:E24" si="5">C21*D21*3</f>
        <v>4650</v>
      </c>
      <c r="F21" s="533">
        <v>2200</v>
      </c>
      <c r="G21" s="534">
        <f t="shared" ref="G21:G24" si="6">C21*F21*9</f>
        <v>19800</v>
      </c>
      <c r="H21" s="542">
        <f>E21+G21</f>
        <v>24450</v>
      </c>
    </row>
    <row r="22" spans="1:10" s="148" customFormat="1" ht="23.25" customHeight="1">
      <c r="A22" s="151">
        <v>2</v>
      </c>
      <c r="B22" s="540" t="s">
        <v>5</v>
      </c>
      <c r="C22" s="521">
        <v>1</v>
      </c>
      <c r="D22" s="533">
        <v>800</v>
      </c>
      <c r="E22" s="534">
        <f t="shared" si="5"/>
        <v>2400</v>
      </c>
      <c r="F22" s="533">
        <f>1060+240</f>
        <v>1300</v>
      </c>
      <c r="G22" s="534">
        <f t="shared" si="6"/>
        <v>11700</v>
      </c>
      <c r="H22" s="542">
        <f>E22+G22</f>
        <v>14100</v>
      </c>
    </row>
    <row r="23" spans="1:10" s="148" customFormat="1" ht="23.25" customHeight="1">
      <c r="A23" s="150">
        <v>3</v>
      </c>
      <c r="B23" s="405" t="s">
        <v>6</v>
      </c>
      <c r="C23" s="522">
        <v>1</v>
      </c>
      <c r="D23" s="533">
        <v>650</v>
      </c>
      <c r="E23" s="534">
        <f t="shared" si="5"/>
        <v>1950</v>
      </c>
      <c r="F23" s="533">
        <v>1060</v>
      </c>
      <c r="G23" s="534">
        <f t="shared" si="6"/>
        <v>9540</v>
      </c>
      <c r="H23" s="542">
        <f t="shared" ref="H23:H24" si="7">E23+G23</f>
        <v>11490</v>
      </c>
    </row>
    <row r="24" spans="1:10" ht="35.450000000000003" customHeight="1" thickBot="1">
      <c r="A24" s="526">
        <v>4</v>
      </c>
      <c r="B24" s="419" t="s">
        <v>366</v>
      </c>
      <c r="C24" s="522">
        <v>1</v>
      </c>
      <c r="D24" s="533">
        <v>500</v>
      </c>
      <c r="E24" s="534">
        <f t="shared" si="5"/>
        <v>1500</v>
      </c>
      <c r="F24" s="533">
        <v>500</v>
      </c>
      <c r="G24" s="534">
        <f t="shared" si="6"/>
        <v>4500</v>
      </c>
      <c r="H24" s="542">
        <f t="shared" si="7"/>
        <v>6000</v>
      </c>
    </row>
    <row r="25" spans="1:10" s="554" customFormat="1" ht="27" customHeight="1" thickBot="1">
      <c r="A25" s="550"/>
      <c r="B25" s="551" t="s">
        <v>36</v>
      </c>
      <c r="C25" s="552">
        <f>SUM(C26:C29)</f>
        <v>10</v>
      </c>
      <c r="D25" s="553" t="s">
        <v>12</v>
      </c>
      <c r="E25" s="552">
        <f>SUM(E26:E29)</f>
        <v>26400</v>
      </c>
      <c r="F25" s="553" t="s">
        <v>12</v>
      </c>
      <c r="G25" s="552">
        <f>SUM(G26:G29)</f>
        <v>112950</v>
      </c>
      <c r="H25" s="543">
        <f>SUM(H26:H29)</f>
        <v>139350</v>
      </c>
    </row>
    <row r="26" spans="1:10" s="148" customFormat="1" ht="24" customHeight="1">
      <c r="A26" s="149">
        <v>4</v>
      </c>
      <c r="B26" s="63" t="s">
        <v>363</v>
      </c>
      <c r="C26" s="401">
        <v>1</v>
      </c>
      <c r="D26" s="533">
        <v>1250</v>
      </c>
      <c r="E26" s="534">
        <f t="shared" ref="E26:E29" si="8">C26*D26*3</f>
        <v>3750</v>
      </c>
      <c r="F26" s="61">
        <v>1900</v>
      </c>
      <c r="G26" s="534">
        <f t="shared" ref="G26:G29" si="9">C26*F26*9</f>
        <v>17100</v>
      </c>
      <c r="H26" s="542">
        <f t="shared" ref="H26:H29" si="10">E26+G26</f>
        <v>20850</v>
      </c>
    </row>
    <row r="27" spans="1:10" s="148" customFormat="1" ht="24" customHeight="1">
      <c r="A27" s="151">
        <v>5</v>
      </c>
      <c r="B27" s="62" t="s">
        <v>216</v>
      </c>
      <c r="C27" s="401">
        <f>4+3</f>
        <v>7</v>
      </c>
      <c r="D27" s="533">
        <v>900</v>
      </c>
      <c r="E27" s="534">
        <f t="shared" si="8"/>
        <v>18900</v>
      </c>
      <c r="F27" s="61">
        <v>1210</v>
      </c>
      <c r="G27" s="534">
        <f t="shared" si="9"/>
        <v>76230</v>
      </c>
      <c r="H27" s="542">
        <f t="shared" si="10"/>
        <v>95130</v>
      </c>
    </row>
    <row r="28" spans="1:10" s="148" customFormat="1" ht="24" customHeight="1">
      <c r="A28" s="151">
        <v>6</v>
      </c>
      <c r="B28" s="62" t="s">
        <v>205</v>
      </c>
      <c r="C28" s="401">
        <v>1</v>
      </c>
      <c r="D28" s="533">
        <v>700</v>
      </c>
      <c r="E28" s="534">
        <f t="shared" si="8"/>
        <v>2100</v>
      </c>
      <c r="F28" s="61">
        <v>1250</v>
      </c>
      <c r="G28" s="534">
        <f t="shared" si="9"/>
        <v>11250</v>
      </c>
      <c r="H28" s="542">
        <f t="shared" si="10"/>
        <v>13350</v>
      </c>
    </row>
    <row r="29" spans="1:10" s="148" customFormat="1" ht="24" customHeight="1" thickBot="1">
      <c r="A29" s="150">
        <v>7</v>
      </c>
      <c r="B29" s="405" t="s">
        <v>391</v>
      </c>
      <c r="C29" s="401">
        <v>1</v>
      </c>
      <c r="D29" s="533">
        <v>550</v>
      </c>
      <c r="E29" s="534">
        <f t="shared" si="8"/>
        <v>1650</v>
      </c>
      <c r="F29" s="399">
        <v>930</v>
      </c>
      <c r="G29" s="534">
        <f t="shared" si="9"/>
        <v>8370</v>
      </c>
      <c r="H29" s="542">
        <f t="shared" si="10"/>
        <v>10020</v>
      </c>
    </row>
    <row r="30" spans="1:10" s="554" customFormat="1" ht="22.5" customHeight="1" thickBot="1">
      <c r="A30" s="555"/>
      <c r="B30" s="556" t="s">
        <v>217</v>
      </c>
      <c r="C30" s="557">
        <f>C20+C25</f>
        <v>14</v>
      </c>
      <c r="D30" s="558" t="s">
        <v>12</v>
      </c>
      <c r="E30" s="557">
        <f>E20+E25</f>
        <v>36900</v>
      </c>
      <c r="F30" s="558" t="s">
        <v>12</v>
      </c>
      <c r="G30" s="557">
        <f>G20+G25</f>
        <v>158490</v>
      </c>
      <c r="H30" s="544">
        <f>H20+H25</f>
        <v>195390</v>
      </c>
      <c r="I30" s="559">
        <f>31200*3</f>
        <v>93600</v>
      </c>
      <c r="J30" s="559">
        <f>152190*9</f>
        <v>1369710</v>
      </c>
    </row>
    <row r="31" spans="1:10" s="554" customFormat="1" ht="22.5" customHeight="1" thickBot="1">
      <c r="A31" s="550"/>
      <c r="B31" s="551" t="s">
        <v>53</v>
      </c>
      <c r="C31" s="560">
        <f>C30+C16</f>
        <v>32</v>
      </c>
      <c r="D31" s="553" t="s">
        <v>12</v>
      </c>
      <c r="E31" s="560">
        <f>E30+E16</f>
        <v>87630</v>
      </c>
      <c r="F31" s="553" t="s">
        <v>12</v>
      </c>
      <c r="G31" s="560">
        <f>G30+G16</f>
        <v>360000</v>
      </c>
      <c r="H31" s="545">
        <f>H30+H16</f>
        <v>447630</v>
      </c>
      <c r="I31" s="559">
        <f>I30+I16</f>
        <v>139650</v>
      </c>
      <c r="J31" s="559">
        <f>J30+J16</f>
        <v>1571220</v>
      </c>
    </row>
    <row r="33" spans="7:8">
      <c r="G33">
        <f>G30-154890</f>
        <v>3600</v>
      </c>
      <c r="H33" s="546">
        <f>12300+4160+H30</f>
        <v>211850</v>
      </c>
    </row>
  </sheetData>
  <mergeCells count="14">
    <mergeCell ref="A1:H1"/>
    <mergeCell ref="A2:A3"/>
    <mergeCell ref="B2:B3"/>
    <mergeCell ref="C2:C3"/>
    <mergeCell ref="D2:E2"/>
    <mergeCell ref="F2:G2"/>
    <mergeCell ref="H2:H3"/>
    <mergeCell ref="A17:H17"/>
    <mergeCell ref="A18:A19"/>
    <mergeCell ref="B18:B19"/>
    <mergeCell ref="C18:C19"/>
    <mergeCell ref="D18:E18"/>
    <mergeCell ref="F18:G18"/>
    <mergeCell ref="H18:H19"/>
  </mergeCells>
  <pageMargins left="0.70866141732283472" right="0.70866141732283472" top="0.15748031496062992" bottom="0.74803149606299213" header="0.31496062992125984" footer="0.31496062992125984"/>
  <pageSetup paperSize="9" scale="7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6"/>
  <sheetViews>
    <sheetView view="pageBreakPreview" topLeftCell="A31" zoomScaleSheetLayoutView="100" workbookViewId="0">
      <selection activeCell="P34" sqref="P34"/>
    </sheetView>
  </sheetViews>
  <sheetFormatPr defaultColWidth="5.7109375" defaultRowHeight="15"/>
  <cols>
    <col min="1" max="1" width="5.7109375" style="191"/>
    <col min="2" max="2" width="29" style="52" customWidth="1"/>
    <col min="3" max="3" width="27.28515625" style="52" customWidth="1"/>
    <col min="4" max="4" width="10.140625" style="8" customWidth="1"/>
    <col min="5" max="5" width="11.5703125" style="8" customWidth="1"/>
    <col min="6" max="6" width="11.7109375" style="10" customWidth="1"/>
    <col min="7" max="7" width="10.42578125" style="8" customWidth="1"/>
    <col min="8" max="8" width="10.28515625" style="8" customWidth="1"/>
    <col min="9" max="9" width="12.7109375" style="8" customWidth="1"/>
    <col min="10" max="10" width="9.28515625" style="8" customWidth="1"/>
    <col min="11" max="11" width="12.28515625" style="8" customWidth="1"/>
    <col min="12" max="12" width="13.28515625" style="8" customWidth="1"/>
    <col min="13" max="13" width="15.140625" style="8" customWidth="1"/>
    <col min="14" max="17" width="5.7109375" style="8"/>
    <col min="18" max="18" width="7.85546875" style="8" customWidth="1"/>
    <col min="19" max="19" width="10.140625" style="8" customWidth="1"/>
    <col min="20" max="20" width="9.140625" style="8" customWidth="1"/>
    <col min="21" max="21" width="9.7109375" style="10" customWidth="1"/>
    <col min="22" max="16384" width="5.7109375" style="8"/>
  </cols>
  <sheetData>
    <row r="1" spans="1:33" s="6" customFormat="1" ht="38.25" customHeight="1" thickBot="1">
      <c r="A1" s="847" t="s">
        <v>281</v>
      </c>
      <c r="B1" s="847"/>
      <c r="C1" s="847"/>
      <c r="D1" s="847"/>
      <c r="E1" s="847"/>
      <c r="F1" s="847"/>
      <c r="G1" s="847"/>
      <c r="H1" s="847"/>
      <c r="I1" s="847"/>
      <c r="J1" s="847"/>
      <c r="K1" s="847"/>
      <c r="L1" s="847"/>
    </row>
    <row r="2" spans="1:33" customFormat="1" ht="24" customHeight="1" thickBot="1">
      <c r="A2" s="841" t="s">
        <v>275</v>
      </c>
      <c r="B2" s="843" t="s">
        <v>261</v>
      </c>
      <c r="C2" s="845" t="s">
        <v>70</v>
      </c>
      <c r="D2" s="837" t="s">
        <v>34</v>
      </c>
      <c r="E2" s="839" t="s">
        <v>262</v>
      </c>
      <c r="F2" s="837" t="s">
        <v>263</v>
      </c>
      <c r="G2" s="839" t="s">
        <v>264</v>
      </c>
      <c r="H2" s="837" t="s">
        <v>265</v>
      </c>
      <c r="I2" s="837"/>
      <c r="J2" s="837"/>
      <c r="K2" s="839" t="s">
        <v>266</v>
      </c>
      <c r="L2" s="834" t="s">
        <v>267</v>
      </c>
    </row>
    <row r="3" spans="1:33" s="45" customFormat="1" ht="54.75" customHeight="1" thickBot="1">
      <c r="A3" s="842"/>
      <c r="B3" s="844"/>
      <c r="C3" s="846"/>
      <c r="D3" s="838"/>
      <c r="E3" s="840"/>
      <c r="F3" s="838"/>
      <c r="G3" s="840"/>
      <c r="H3" s="183" t="s">
        <v>268</v>
      </c>
      <c r="I3" s="184" t="s">
        <v>269</v>
      </c>
      <c r="J3" s="185" t="s">
        <v>270</v>
      </c>
      <c r="K3" s="840"/>
      <c r="L3" s="835"/>
    </row>
    <row r="4" spans="1:33" ht="23.25" customHeight="1">
      <c r="A4" s="188">
        <v>1</v>
      </c>
      <c r="B4" s="178" t="s">
        <v>232</v>
      </c>
      <c r="C4" s="178" t="s">
        <v>26</v>
      </c>
      <c r="D4" s="156">
        <v>545</v>
      </c>
      <c r="E4" s="155">
        <f>F4+G4</f>
        <v>545</v>
      </c>
      <c r="F4" s="155">
        <v>545</v>
      </c>
      <c r="G4" s="155"/>
      <c r="H4" s="155"/>
      <c r="I4" s="155">
        <f>E4*20%</f>
        <v>109</v>
      </c>
      <c r="J4" s="155"/>
      <c r="K4" s="155">
        <f>H4+I4+J4</f>
        <v>109</v>
      </c>
      <c r="L4" s="164">
        <f>E4-K4</f>
        <v>436</v>
      </c>
      <c r="N4" s="8">
        <v>1</v>
      </c>
      <c r="U4" s="8"/>
      <c r="AA4" s="140">
        <v>1</v>
      </c>
      <c r="AB4" s="141">
        <v>545</v>
      </c>
      <c r="AC4" s="142">
        <f t="shared" ref="AC4:AC27" si="0">AA4*AB4</f>
        <v>545</v>
      </c>
      <c r="AD4" s="143">
        <v>6290</v>
      </c>
    </row>
    <row r="5" spans="1:33" ht="35.25" customHeight="1">
      <c r="A5" s="189">
        <v>2</v>
      </c>
      <c r="B5" s="179" t="s">
        <v>220</v>
      </c>
      <c r="C5" s="179" t="s">
        <v>15</v>
      </c>
      <c r="D5" s="145">
        <v>242</v>
      </c>
      <c r="E5" s="159">
        <f t="shared" ref="E5:E16" si="1">F5+G5</f>
        <v>242</v>
      </c>
      <c r="F5" s="159">
        <v>242</v>
      </c>
      <c r="G5" s="159"/>
      <c r="H5" s="159"/>
      <c r="I5" s="159">
        <f t="shared" ref="I5:I16" si="2">E5*20%</f>
        <v>48.400000000000006</v>
      </c>
      <c r="J5" s="159"/>
      <c r="K5" s="159">
        <f t="shared" ref="K5:K16" si="3">H5+I5+J5</f>
        <v>48.400000000000006</v>
      </c>
      <c r="L5" s="166">
        <f t="shared" ref="L5:L16" si="4">E5-K5</f>
        <v>193.6</v>
      </c>
      <c r="N5" s="8">
        <v>1</v>
      </c>
      <c r="U5" s="8"/>
      <c r="AA5" s="144">
        <v>1</v>
      </c>
      <c r="AB5" s="145">
        <v>242</v>
      </c>
      <c r="AC5" s="146">
        <f t="shared" si="0"/>
        <v>242</v>
      </c>
      <c r="AD5" s="147">
        <v>2794</v>
      </c>
    </row>
    <row r="6" spans="1:33" ht="35.25" customHeight="1">
      <c r="A6" s="189">
        <v>3</v>
      </c>
      <c r="B6" s="179" t="s">
        <v>226</v>
      </c>
      <c r="C6" s="179" t="s">
        <v>207</v>
      </c>
      <c r="D6" s="145">
        <v>182</v>
      </c>
      <c r="E6" s="159">
        <f t="shared" si="1"/>
        <v>182</v>
      </c>
      <c r="F6" s="159">
        <v>182</v>
      </c>
      <c r="G6" s="159"/>
      <c r="H6" s="159"/>
      <c r="I6" s="159">
        <f t="shared" si="2"/>
        <v>36.4</v>
      </c>
      <c r="J6" s="159"/>
      <c r="K6" s="159">
        <f t="shared" si="3"/>
        <v>36.4</v>
      </c>
      <c r="L6" s="166">
        <f t="shared" si="4"/>
        <v>145.6</v>
      </c>
      <c r="N6" s="8">
        <v>1</v>
      </c>
      <c r="U6" s="8"/>
      <c r="AA6" s="144">
        <v>1</v>
      </c>
      <c r="AB6" s="145">
        <v>182</v>
      </c>
      <c r="AC6" s="146">
        <f t="shared" si="0"/>
        <v>182</v>
      </c>
      <c r="AD6" s="147">
        <v>2099</v>
      </c>
    </row>
    <row r="7" spans="1:33" ht="26.25" customHeight="1">
      <c r="A7" s="189">
        <v>4</v>
      </c>
      <c r="B7" s="179" t="s">
        <v>223</v>
      </c>
      <c r="C7" s="179" t="s">
        <v>6</v>
      </c>
      <c r="D7" s="12">
        <v>242</v>
      </c>
      <c r="E7" s="159">
        <f t="shared" si="1"/>
        <v>242</v>
      </c>
      <c r="F7" s="159">
        <v>242</v>
      </c>
      <c r="G7" s="159"/>
      <c r="H7" s="159"/>
      <c r="I7" s="159">
        <f t="shared" si="2"/>
        <v>48.400000000000006</v>
      </c>
      <c r="J7" s="159"/>
      <c r="K7" s="159">
        <f t="shared" si="3"/>
        <v>48.400000000000006</v>
      </c>
      <c r="L7" s="166">
        <f t="shared" si="4"/>
        <v>193.6</v>
      </c>
      <c r="N7" s="8">
        <v>1</v>
      </c>
      <c r="U7" s="8"/>
      <c r="AA7" s="58">
        <v>1</v>
      </c>
      <c r="AB7" s="12">
        <v>242</v>
      </c>
      <c r="AC7" s="14">
        <f t="shared" si="0"/>
        <v>242</v>
      </c>
      <c r="AD7" s="59">
        <v>2794</v>
      </c>
    </row>
    <row r="8" spans="1:33" ht="35.25" customHeight="1">
      <c r="A8" s="189">
        <v>5</v>
      </c>
      <c r="B8" s="179" t="s">
        <v>221</v>
      </c>
      <c r="C8" s="179" t="s">
        <v>208</v>
      </c>
      <c r="D8" s="12">
        <v>412</v>
      </c>
      <c r="E8" s="159">
        <f t="shared" si="1"/>
        <v>412</v>
      </c>
      <c r="F8" s="159">
        <v>412</v>
      </c>
      <c r="G8" s="159"/>
      <c r="H8" s="159"/>
      <c r="I8" s="159">
        <f t="shared" si="2"/>
        <v>82.4</v>
      </c>
      <c r="J8" s="159"/>
      <c r="K8" s="159">
        <f t="shared" si="3"/>
        <v>82.4</v>
      </c>
      <c r="L8" s="166">
        <f t="shared" si="4"/>
        <v>329.6</v>
      </c>
      <c r="N8" s="8">
        <v>1</v>
      </c>
      <c r="U8" s="8"/>
      <c r="AA8" s="58">
        <v>1</v>
      </c>
      <c r="AB8" s="12">
        <v>412</v>
      </c>
      <c r="AC8" s="14">
        <f t="shared" si="0"/>
        <v>412</v>
      </c>
      <c r="AD8" s="59">
        <v>4759</v>
      </c>
    </row>
    <row r="9" spans="1:33" ht="26.25" customHeight="1">
      <c r="A9" s="189">
        <v>6</v>
      </c>
      <c r="B9" s="179" t="s">
        <v>224</v>
      </c>
      <c r="C9" s="179" t="s">
        <v>51</v>
      </c>
      <c r="D9" s="12">
        <v>242</v>
      </c>
      <c r="E9" s="159">
        <f t="shared" si="1"/>
        <v>242</v>
      </c>
      <c r="F9" s="159">
        <v>242</v>
      </c>
      <c r="G9" s="159"/>
      <c r="H9" s="159"/>
      <c r="I9" s="159">
        <f t="shared" si="2"/>
        <v>48.400000000000006</v>
      </c>
      <c r="J9" s="159"/>
      <c r="K9" s="159">
        <f t="shared" si="3"/>
        <v>48.400000000000006</v>
      </c>
      <c r="L9" s="166">
        <f t="shared" si="4"/>
        <v>193.6</v>
      </c>
      <c r="N9" s="8">
        <v>1</v>
      </c>
      <c r="U9" s="8"/>
      <c r="AA9" s="58">
        <v>1</v>
      </c>
      <c r="AB9" s="12">
        <v>242</v>
      </c>
      <c r="AC9" s="14">
        <f t="shared" si="0"/>
        <v>242</v>
      </c>
      <c r="AD9" s="59">
        <v>2794</v>
      </c>
    </row>
    <row r="10" spans="1:33" ht="26.25" customHeight="1">
      <c r="A10" s="189">
        <v>7</v>
      </c>
      <c r="B10" s="179" t="s">
        <v>222</v>
      </c>
      <c r="C10" s="179" t="s">
        <v>5</v>
      </c>
      <c r="D10" s="12">
        <v>242</v>
      </c>
      <c r="E10" s="159">
        <f t="shared" si="1"/>
        <v>242</v>
      </c>
      <c r="F10" s="159">
        <v>242</v>
      </c>
      <c r="G10" s="159"/>
      <c r="H10" s="159"/>
      <c r="I10" s="159">
        <f t="shared" si="2"/>
        <v>48.400000000000006</v>
      </c>
      <c r="J10" s="159"/>
      <c r="K10" s="159">
        <f t="shared" si="3"/>
        <v>48.400000000000006</v>
      </c>
      <c r="L10" s="166">
        <f t="shared" si="4"/>
        <v>193.6</v>
      </c>
      <c r="N10" s="8">
        <v>1</v>
      </c>
      <c r="U10" s="8"/>
      <c r="AA10" s="58">
        <v>1</v>
      </c>
      <c r="AB10" s="12">
        <v>242</v>
      </c>
      <c r="AC10" s="14">
        <f t="shared" si="0"/>
        <v>242</v>
      </c>
      <c r="AD10" s="59">
        <v>2794</v>
      </c>
    </row>
    <row r="11" spans="1:33" ht="26.25" customHeight="1">
      <c r="A11" s="189">
        <v>8</v>
      </c>
      <c r="B11" s="179" t="s">
        <v>233</v>
      </c>
      <c r="C11" s="179" t="s">
        <v>209</v>
      </c>
      <c r="D11" s="13">
        <v>182</v>
      </c>
      <c r="E11" s="159">
        <f t="shared" si="1"/>
        <v>182</v>
      </c>
      <c r="F11" s="159">
        <v>182</v>
      </c>
      <c r="G11" s="159"/>
      <c r="H11" s="159"/>
      <c r="I11" s="159">
        <f t="shared" si="2"/>
        <v>36.4</v>
      </c>
      <c r="J11" s="159"/>
      <c r="K11" s="159">
        <f t="shared" si="3"/>
        <v>36.4</v>
      </c>
      <c r="L11" s="166">
        <f t="shared" si="4"/>
        <v>145.6</v>
      </c>
      <c r="N11" s="8">
        <v>1</v>
      </c>
      <c r="U11" s="8"/>
      <c r="AA11" s="58">
        <v>1</v>
      </c>
      <c r="AB11" s="13">
        <v>182</v>
      </c>
      <c r="AC11" s="14">
        <f t="shared" si="0"/>
        <v>182</v>
      </c>
      <c r="AD11" s="59">
        <v>2099</v>
      </c>
    </row>
    <row r="12" spans="1:33" ht="33" customHeight="1">
      <c r="A12" s="189">
        <v>9</v>
      </c>
      <c r="B12" s="851" t="s">
        <v>225</v>
      </c>
      <c r="C12" s="179" t="s">
        <v>210</v>
      </c>
      <c r="D12" s="13">
        <v>182</v>
      </c>
      <c r="E12" s="159">
        <f t="shared" si="1"/>
        <v>182</v>
      </c>
      <c r="F12" s="159">
        <v>182</v>
      </c>
      <c r="G12" s="159"/>
      <c r="H12" s="159"/>
      <c r="I12" s="159">
        <f t="shared" si="2"/>
        <v>36.4</v>
      </c>
      <c r="J12" s="159"/>
      <c r="K12" s="159">
        <f t="shared" si="3"/>
        <v>36.4</v>
      </c>
      <c r="L12" s="166">
        <f t="shared" si="4"/>
        <v>145.6</v>
      </c>
      <c r="N12" s="8">
        <v>1</v>
      </c>
      <c r="U12" s="8"/>
      <c r="AA12" s="58">
        <v>1</v>
      </c>
      <c r="AB12" s="13">
        <v>182</v>
      </c>
      <c r="AC12" s="14">
        <f t="shared" si="0"/>
        <v>182</v>
      </c>
      <c r="AD12" s="59">
        <v>2099</v>
      </c>
    </row>
    <row r="13" spans="1:33" ht="33" customHeight="1">
      <c r="A13" s="189">
        <v>10</v>
      </c>
      <c r="B13" s="852"/>
      <c r="C13" s="179" t="s">
        <v>211</v>
      </c>
      <c r="D13" s="13">
        <v>182</v>
      </c>
      <c r="E13" s="159">
        <f t="shared" si="1"/>
        <v>91</v>
      </c>
      <c r="F13" s="159">
        <v>91</v>
      </c>
      <c r="G13" s="159"/>
      <c r="H13" s="159"/>
      <c r="I13" s="159">
        <f t="shared" si="2"/>
        <v>18.2</v>
      </c>
      <c r="J13" s="159"/>
      <c r="K13" s="159">
        <f t="shared" si="3"/>
        <v>18.2</v>
      </c>
      <c r="L13" s="166">
        <f t="shared" si="4"/>
        <v>72.8</v>
      </c>
      <c r="N13" s="8">
        <v>1</v>
      </c>
      <c r="U13" s="8"/>
      <c r="AA13" s="58">
        <v>1</v>
      </c>
      <c r="AB13" s="13">
        <v>182</v>
      </c>
      <c r="AC13" s="14">
        <f t="shared" si="0"/>
        <v>182</v>
      </c>
      <c r="AD13" s="59">
        <v>2099</v>
      </c>
    </row>
    <row r="14" spans="1:33" ht="33" customHeight="1">
      <c r="A14" s="189">
        <v>11</v>
      </c>
      <c r="B14" s="179" t="s">
        <v>227</v>
      </c>
      <c r="C14" s="179" t="s">
        <v>212</v>
      </c>
      <c r="D14" s="13">
        <v>182</v>
      </c>
      <c r="E14" s="159">
        <f t="shared" si="1"/>
        <v>182</v>
      </c>
      <c r="F14" s="159">
        <v>182</v>
      </c>
      <c r="G14" s="159"/>
      <c r="H14" s="159"/>
      <c r="I14" s="159">
        <f t="shared" si="2"/>
        <v>36.4</v>
      </c>
      <c r="J14" s="159"/>
      <c r="K14" s="159">
        <f t="shared" si="3"/>
        <v>36.4</v>
      </c>
      <c r="L14" s="166">
        <f t="shared" si="4"/>
        <v>145.6</v>
      </c>
      <c r="N14" s="8">
        <v>1</v>
      </c>
      <c r="U14" s="8"/>
      <c r="AA14" s="58">
        <v>1</v>
      </c>
      <c r="AB14" s="13">
        <v>182</v>
      </c>
      <c r="AC14" s="14">
        <f t="shared" si="0"/>
        <v>182</v>
      </c>
      <c r="AD14" s="59">
        <v>2099</v>
      </c>
    </row>
    <row r="15" spans="1:33" s="57" customFormat="1" ht="33" customHeight="1">
      <c r="A15" s="189">
        <v>12</v>
      </c>
      <c r="B15" s="179" t="s">
        <v>228</v>
      </c>
      <c r="C15" s="179" t="s">
        <v>213</v>
      </c>
      <c r="D15" s="13">
        <v>392</v>
      </c>
      <c r="E15" s="159">
        <f t="shared" si="1"/>
        <v>392</v>
      </c>
      <c r="F15" s="159">
        <v>392</v>
      </c>
      <c r="G15" s="159"/>
      <c r="H15" s="159"/>
      <c r="I15" s="159">
        <f t="shared" si="2"/>
        <v>78.400000000000006</v>
      </c>
      <c r="J15" s="159"/>
      <c r="K15" s="159">
        <f t="shared" si="3"/>
        <v>78.400000000000006</v>
      </c>
      <c r="L15" s="166">
        <f t="shared" si="4"/>
        <v>313.60000000000002</v>
      </c>
      <c r="M15" s="8"/>
      <c r="N15" s="8">
        <v>1</v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58">
        <v>2</v>
      </c>
      <c r="AB15" s="13">
        <v>392</v>
      </c>
      <c r="AC15" s="14">
        <f t="shared" si="0"/>
        <v>784</v>
      </c>
      <c r="AD15" s="59">
        <v>9058</v>
      </c>
      <c r="AE15" s="8"/>
      <c r="AF15" s="8"/>
      <c r="AG15" s="8"/>
    </row>
    <row r="16" spans="1:33" s="57" customFormat="1" ht="33" customHeight="1" thickBot="1">
      <c r="A16" s="190">
        <v>13</v>
      </c>
      <c r="B16" s="179" t="s">
        <v>280</v>
      </c>
      <c r="C16" s="180" t="s">
        <v>213</v>
      </c>
      <c r="D16" s="177">
        <v>392</v>
      </c>
      <c r="E16" s="181">
        <f t="shared" si="1"/>
        <v>392</v>
      </c>
      <c r="F16" s="181">
        <v>392</v>
      </c>
      <c r="G16" s="181"/>
      <c r="H16" s="181"/>
      <c r="I16" s="181">
        <f t="shared" si="2"/>
        <v>78.400000000000006</v>
      </c>
      <c r="J16" s="181"/>
      <c r="K16" s="181">
        <f t="shared" si="3"/>
        <v>78.400000000000006</v>
      </c>
      <c r="L16" s="182">
        <f t="shared" si="4"/>
        <v>313.60000000000002</v>
      </c>
      <c r="M16" s="8"/>
      <c r="N16" s="8">
        <v>1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58"/>
      <c r="AB16" s="13"/>
      <c r="AC16" s="14"/>
      <c r="AD16" s="59"/>
      <c r="AE16" s="8"/>
      <c r="AF16" s="8"/>
      <c r="AG16" s="8"/>
    </row>
    <row r="17" spans="1:33" s="57" customFormat="1" ht="39" customHeight="1" thickBot="1">
      <c r="A17" s="848" t="s">
        <v>238</v>
      </c>
      <c r="B17" s="849"/>
      <c r="C17" s="850"/>
      <c r="D17" s="154" t="s">
        <v>271</v>
      </c>
      <c r="E17" s="176">
        <f t="shared" ref="E17:L17" si="5">SUM(E4:E16)</f>
        <v>3528</v>
      </c>
      <c r="F17" s="175">
        <f t="shared" si="5"/>
        <v>3528</v>
      </c>
      <c r="G17" s="176">
        <f t="shared" si="5"/>
        <v>0</v>
      </c>
      <c r="H17" s="175">
        <f t="shared" si="5"/>
        <v>0</v>
      </c>
      <c r="I17" s="176">
        <f t="shared" si="5"/>
        <v>705.59999999999991</v>
      </c>
      <c r="J17" s="175">
        <f t="shared" si="5"/>
        <v>0</v>
      </c>
      <c r="K17" s="176">
        <f t="shared" si="5"/>
        <v>705.59999999999991</v>
      </c>
      <c r="L17" s="176">
        <f t="shared" si="5"/>
        <v>2822.3999999999996</v>
      </c>
      <c r="M17" s="8"/>
      <c r="N17" s="8">
        <f>SUM(N4:N16)</f>
        <v>13</v>
      </c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58"/>
      <c r="AB17" s="13"/>
      <c r="AC17" s="14"/>
      <c r="AD17" s="59"/>
      <c r="AE17" s="8"/>
      <c r="AF17" s="8"/>
      <c r="AG17" s="8"/>
    </row>
    <row r="18" spans="1:33" s="57" customFormat="1" ht="47.25" customHeight="1" thickBot="1">
      <c r="A18" s="847" t="s">
        <v>282</v>
      </c>
      <c r="B18" s="847"/>
      <c r="C18" s="847"/>
      <c r="D18" s="847"/>
      <c r="E18" s="847"/>
      <c r="F18" s="847"/>
      <c r="G18" s="847"/>
      <c r="H18" s="847"/>
      <c r="I18" s="847"/>
      <c r="J18" s="847"/>
      <c r="K18" s="847"/>
      <c r="L18" s="847"/>
      <c r="M18" s="174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58"/>
      <c r="AB18" s="13"/>
      <c r="AC18" s="14"/>
      <c r="AD18" s="59"/>
      <c r="AE18" s="8"/>
      <c r="AF18" s="8"/>
      <c r="AG18" s="8"/>
    </row>
    <row r="19" spans="1:33" customFormat="1" ht="30.75" customHeight="1" thickBot="1">
      <c r="A19" s="841" t="s">
        <v>275</v>
      </c>
      <c r="B19" s="843" t="s">
        <v>261</v>
      </c>
      <c r="C19" s="845" t="s">
        <v>70</v>
      </c>
      <c r="D19" s="837" t="s">
        <v>34</v>
      </c>
      <c r="E19" s="839" t="s">
        <v>262</v>
      </c>
      <c r="F19" s="837" t="s">
        <v>263</v>
      </c>
      <c r="G19" s="839" t="s">
        <v>264</v>
      </c>
      <c r="H19" s="837" t="s">
        <v>265</v>
      </c>
      <c r="I19" s="837"/>
      <c r="J19" s="837"/>
      <c r="K19" s="839" t="s">
        <v>266</v>
      </c>
      <c r="L19" s="834" t="s">
        <v>267</v>
      </c>
    </row>
    <row r="20" spans="1:33" s="45" customFormat="1" ht="69" customHeight="1" thickBot="1">
      <c r="A20" s="842"/>
      <c r="B20" s="844"/>
      <c r="C20" s="846"/>
      <c r="D20" s="838"/>
      <c r="E20" s="840"/>
      <c r="F20" s="838"/>
      <c r="G20" s="840"/>
      <c r="H20" s="183" t="s">
        <v>268</v>
      </c>
      <c r="I20" s="184" t="s">
        <v>269</v>
      </c>
      <c r="J20" s="185" t="s">
        <v>270</v>
      </c>
      <c r="K20" s="840"/>
      <c r="L20" s="835"/>
    </row>
    <row r="21" spans="1:33" ht="26.25" customHeight="1">
      <c r="A21" s="188">
        <v>1</v>
      </c>
      <c r="B21" s="179" t="s">
        <v>229</v>
      </c>
      <c r="C21" s="178" t="s">
        <v>10</v>
      </c>
      <c r="D21" s="156">
        <v>378</v>
      </c>
      <c r="E21" s="155">
        <f>F21+G21</f>
        <v>378</v>
      </c>
      <c r="F21" s="155">
        <v>378</v>
      </c>
      <c r="G21" s="155"/>
      <c r="H21" s="155"/>
      <c r="I21" s="155">
        <f>E21*20%</f>
        <v>75.600000000000009</v>
      </c>
      <c r="J21" s="155"/>
      <c r="K21" s="155">
        <f>H21+I21+J21</f>
        <v>75.600000000000009</v>
      </c>
      <c r="L21" s="164">
        <f>E21-K21</f>
        <v>302.39999999999998</v>
      </c>
      <c r="N21" s="8">
        <v>1</v>
      </c>
      <c r="U21" s="8"/>
      <c r="AA21" s="58">
        <v>3</v>
      </c>
      <c r="AB21" s="13">
        <v>378</v>
      </c>
      <c r="AC21" s="14">
        <f>AA21*AB21</f>
        <v>1134</v>
      </c>
      <c r="AD21" s="59">
        <v>13098</v>
      </c>
    </row>
    <row r="22" spans="1:33" ht="30.75" customHeight="1">
      <c r="A22" s="189">
        <v>2</v>
      </c>
      <c r="B22" s="179" t="s">
        <v>284</v>
      </c>
      <c r="C22" s="179" t="s">
        <v>37</v>
      </c>
      <c r="D22" s="12">
        <v>413</v>
      </c>
      <c r="E22" s="159">
        <f>F22+G22</f>
        <v>413</v>
      </c>
      <c r="F22" s="159">
        <v>413</v>
      </c>
      <c r="G22" s="159"/>
      <c r="H22" s="159"/>
      <c r="I22" s="159">
        <f>E22*20%</f>
        <v>82.600000000000009</v>
      </c>
      <c r="J22" s="159"/>
      <c r="K22" s="159">
        <f>H22+I22+J22</f>
        <v>82.600000000000009</v>
      </c>
      <c r="L22" s="166">
        <f>E22-K22</f>
        <v>330.4</v>
      </c>
      <c r="N22" s="8">
        <v>1</v>
      </c>
      <c r="U22" s="8"/>
      <c r="AA22" s="58">
        <v>1</v>
      </c>
      <c r="AB22" s="13">
        <v>413</v>
      </c>
      <c r="AC22" s="14">
        <f>AA22*AB22</f>
        <v>413</v>
      </c>
      <c r="AD22" s="59">
        <v>4766</v>
      </c>
    </row>
    <row r="23" spans="1:33" ht="26.25" customHeight="1">
      <c r="A23" s="189">
        <v>3</v>
      </c>
      <c r="B23" s="179" t="s">
        <v>230</v>
      </c>
      <c r="C23" s="179" t="s">
        <v>10</v>
      </c>
      <c r="D23" s="145">
        <v>378</v>
      </c>
      <c r="E23" s="159">
        <f t="shared" ref="E23:E29" si="6">F23+G23</f>
        <v>378</v>
      </c>
      <c r="F23" s="159">
        <v>378</v>
      </c>
      <c r="G23" s="159"/>
      <c r="H23" s="159"/>
      <c r="I23" s="159">
        <f t="shared" ref="I23:I29" si="7">E23*20%</f>
        <v>75.600000000000009</v>
      </c>
      <c r="J23" s="159"/>
      <c r="K23" s="159">
        <f t="shared" ref="K23:K29" si="8">H23+I23+J23</f>
        <v>75.600000000000009</v>
      </c>
      <c r="L23" s="166">
        <f t="shared" ref="L23:L29" si="9">E23-K23</f>
        <v>302.39999999999998</v>
      </c>
      <c r="N23" s="8">
        <v>1</v>
      </c>
      <c r="U23" s="8"/>
      <c r="AA23" s="58"/>
      <c r="AB23" s="13"/>
      <c r="AC23" s="14"/>
      <c r="AD23" s="59"/>
    </row>
    <row r="24" spans="1:33" ht="26.25" customHeight="1">
      <c r="A24" s="189">
        <v>5</v>
      </c>
      <c r="B24" s="179" t="s">
        <v>283</v>
      </c>
      <c r="C24" s="179" t="s">
        <v>10</v>
      </c>
      <c r="D24" s="145">
        <v>378</v>
      </c>
      <c r="E24" s="159">
        <f t="shared" si="6"/>
        <v>378</v>
      </c>
      <c r="F24" s="159">
        <v>378</v>
      </c>
      <c r="G24" s="159"/>
      <c r="H24" s="159"/>
      <c r="I24" s="159">
        <f t="shared" si="7"/>
        <v>75.600000000000009</v>
      </c>
      <c r="J24" s="159"/>
      <c r="K24" s="159">
        <f t="shared" si="8"/>
        <v>75.600000000000009</v>
      </c>
      <c r="L24" s="166">
        <f t="shared" si="9"/>
        <v>302.39999999999998</v>
      </c>
      <c r="N24" s="8">
        <v>1</v>
      </c>
      <c r="U24" s="8"/>
      <c r="AA24" s="58"/>
      <c r="AB24" s="13"/>
      <c r="AC24" s="14"/>
      <c r="AD24" s="59"/>
    </row>
    <row r="25" spans="1:33" ht="27.75" customHeight="1">
      <c r="A25" s="189">
        <v>5</v>
      </c>
      <c r="B25" s="179" t="s">
        <v>234</v>
      </c>
      <c r="C25" s="179" t="s">
        <v>27</v>
      </c>
      <c r="D25" s="12">
        <v>480</v>
      </c>
      <c r="E25" s="159">
        <f t="shared" si="6"/>
        <v>480</v>
      </c>
      <c r="F25" s="159">
        <v>480</v>
      </c>
      <c r="G25" s="159"/>
      <c r="H25" s="159"/>
      <c r="I25" s="159">
        <f t="shared" si="7"/>
        <v>96</v>
      </c>
      <c r="J25" s="159"/>
      <c r="K25" s="159">
        <f t="shared" si="8"/>
        <v>96</v>
      </c>
      <c r="L25" s="166">
        <f t="shared" si="9"/>
        <v>384</v>
      </c>
      <c r="N25" s="8">
        <v>1</v>
      </c>
      <c r="U25" s="8"/>
      <c r="AA25" s="58">
        <v>2</v>
      </c>
      <c r="AB25" s="13">
        <v>480</v>
      </c>
      <c r="AC25" s="14">
        <f>AA25*AB25</f>
        <v>960</v>
      </c>
      <c r="AD25" s="59">
        <v>11090</v>
      </c>
    </row>
    <row r="26" spans="1:33" ht="29.25" customHeight="1">
      <c r="A26" s="189">
        <v>6</v>
      </c>
      <c r="B26" s="179" t="s">
        <v>235</v>
      </c>
      <c r="C26" s="179" t="s">
        <v>27</v>
      </c>
      <c r="D26" s="12">
        <v>480</v>
      </c>
      <c r="E26" s="159">
        <f t="shared" si="6"/>
        <v>480</v>
      </c>
      <c r="F26" s="159">
        <v>480</v>
      </c>
      <c r="G26" s="159"/>
      <c r="H26" s="159"/>
      <c r="I26" s="159">
        <f t="shared" si="7"/>
        <v>96</v>
      </c>
      <c r="J26" s="159"/>
      <c r="K26" s="159">
        <f t="shared" si="8"/>
        <v>96</v>
      </c>
      <c r="L26" s="166">
        <f t="shared" si="9"/>
        <v>384</v>
      </c>
      <c r="N26" s="8">
        <v>1</v>
      </c>
      <c r="U26" s="8"/>
      <c r="AA26" s="58"/>
      <c r="AB26" s="13"/>
      <c r="AC26" s="14"/>
      <c r="AD26" s="59"/>
    </row>
    <row r="27" spans="1:33" ht="39" customHeight="1">
      <c r="A27" s="189">
        <v>7</v>
      </c>
      <c r="B27" s="179" t="s">
        <v>236</v>
      </c>
      <c r="C27" s="179" t="s">
        <v>214</v>
      </c>
      <c r="D27" s="12">
        <v>302</v>
      </c>
      <c r="E27" s="159">
        <f t="shared" si="6"/>
        <v>302</v>
      </c>
      <c r="F27" s="159">
        <v>302</v>
      </c>
      <c r="G27" s="159"/>
      <c r="H27" s="159"/>
      <c r="I27" s="159">
        <f t="shared" si="7"/>
        <v>60.400000000000006</v>
      </c>
      <c r="J27" s="159"/>
      <c r="K27" s="159">
        <f t="shared" si="8"/>
        <v>60.400000000000006</v>
      </c>
      <c r="L27" s="166">
        <f t="shared" si="9"/>
        <v>241.6</v>
      </c>
      <c r="N27" s="8">
        <v>1</v>
      </c>
      <c r="U27" s="8"/>
      <c r="AA27" s="58">
        <v>1</v>
      </c>
      <c r="AB27" s="13">
        <v>302</v>
      </c>
      <c r="AC27" s="14">
        <f t="shared" si="0"/>
        <v>302</v>
      </c>
      <c r="AD27" s="59">
        <v>3489</v>
      </c>
    </row>
    <row r="28" spans="1:33" ht="27" customHeight="1">
      <c r="A28" s="189">
        <v>8</v>
      </c>
      <c r="B28" s="179" t="s">
        <v>231</v>
      </c>
      <c r="C28" s="179" t="s">
        <v>215</v>
      </c>
      <c r="D28" s="13">
        <v>413</v>
      </c>
      <c r="E28" s="159">
        <f t="shared" si="6"/>
        <v>413</v>
      </c>
      <c r="F28" s="159">
        <v>413</v>
      </c>
      <c r="G28" s="159"/>
      <c r="H28" s="159"/>
      <c r="I28" s="159">
        <f t="shared" si="7"/>
        <v>82.600000000000009</v>
      </c>
      <c r="J28" s="159"/>
      <c r="K28" s="159">
        <f t="shared" si="8"/>
        <v>82.600000000000009</v>
      </c>
      <c r="L28" s="166">
        <f t="shared" si="9"/>
        <v>330.4</v>
      </c>
      <c r="N28" s="8">
        <v>1</v>
      </c>
      <c r="U28" s="8"/>
    </row>
    <row r="29" spans="1:33" ht="26.25" customHeight="1" thickBot="1">
      <c r="A29" s="189">
        <v>9</v>
      </c>
      <c r="B29" s="179" t="s">
        <v>237</v>
      </c>
      <c r="C29" s="179" t="s">
        <v>52</v>
      </c>
      <c r="D29" s="13">
        <v>413</v>
      </c>
      <c r="E29" s="159">
        <f t="shared" si="6"/>
        <v>413</v>
      </c>
      <c r="F29" s="159">
        <v>413</v>
      </c>
      <c r="G29" s="159"/>
      <c r="H29" s="159"/>
      <c r="I29" s="159">
        <f t="shared" si="7"/>
        <v>82.600000000000009</v>
      </c>
      <c r="J29" s="159"/>
      <c r="K29" s="159">
        <f t="shared" si="8"/>
        <v>82.600000000000009</v>
      </c>
      <c r="L29" s="166">
        <f t="shared" si="9"/>
        <v>330.4</v>
      </c>
      <c r="N29" s="8">
        <v>1</v>
      </c>
      <c r="U29" s="8"/>
    </row>
    <row r="30" spans="1:33" ht="30" customHeight="1" thickBot="1">
      <c r="A30" s="831" t="s">
        <v>100</v>
      </c>
      <c r="B30" s="832" t="s">
        <v>53</v>
      </c>
      <c r="C30" s="833" t="s">
        <v>53</v>
      </c>
      <c r="D30" s="167" t="s">
        <v>271</v>
      </c>
      <c r="E30" s="168">
        <f>SUM(E21:E29)</f>
        <v>3635</v>
      </c>
      <c r="F30" s="169">
        <f t="shared" ref="F30:L30" si="10">SUM(F21:F29)</f>
        <v>3635</v>
      </c>
      <c r="G30" s="168">
        <f t="shared" si="10"/>
        <v>0</v>
      </c>
      <c r="H30" s="169">
        <f t="shared" si="10"/>
        <v>0</v>
      </c>
      <c r="I30" s="168">
        <f t="shared" si="10"/>
        <v>727.00000000000011</v>
      </c>
      <c r="J30" s="169">
        <f t="shared" si="10"/>
        <v>0</v>
      </c>
      <c r="K30" s="168">
        <f t="shared" si="10"/>
        <v>727.00000000000011</v>
      </c>
      <c r="L30" s="170">
        <f t="shared" si="10"/>
        <v>2908</v>
      </c>
      <c r="N30" s="8">
        <f>SUM(N21:N29)</f>
        <v>9</v>
      </c>
      <c r="U30" s="8"/>
    </row>
    <row r="31" spans="1:33">
      <c r="U31" s="8"/>
    </row>
    <row r="32" spans="1:33" s="6" customFormat="1" ht="35.25" customHeight="1" thickBot="1">
      <c r="A32" s="847" t="s">
        <v>278</v>
      </c>
      <c r="B32" s="847"/>
      <c r="C32" s="847"/>
      <c r="D32" s="847"/>
      <c r="E32" s="847"/>
      <c r="F32" s="847"/>
      <c r="G32" s="847"/>
      <c r="H32" s="847"/>
      <c r="I32" s="847"/>
      <c r="J32" s="847"/>
      <c r="K32" s="847"/>
      <c r="L32" s="847"/>
    </row>
    <row r="33" spans="1:21" customFormat="1" ht="21.75" customHeight="1" thickBot="1">
      <c r="A33" s="841" t="s">
        <v>275</v>
      </c>
      <c r="B33" s="843" t="s">
        <v>261</v>
      </c>
      <c r="C33" s="845" t="s">
        <v>70</v>
      </c>
      <c r="D33" s="837" t="s">
        <v>34</v>
      </c>
      <c r="E33" s="839" t="s">
        <v>262</v>
      </c>
      <c r="F33" s="837" t="s">
        <v>263</v>
      </c>
      <c r="G33" s="839" t="s">
        <v>264</v>
      </c>
      <c r="H33" s="837" t="s">
        <v>265</v>
      </c>
      <c r="I33" s="837"/>
      <c r="J33" s="837"/>
      <c r="K33" s="839" t="s">
        <v>266</v>
      </c>
      <c r="L33" s="834" t="s">
        <v>267</v>
      </c>
    </row>
    <row r="34" spans="1:21" s="45" customFormat="1" ht="59.25" customHeight="1" thickBot="1">
      <c r="A34" s="842"/>
      <c r="B34" s="844"/>
      <c r="C34" s="846"/>
      <c r="D34" s="838"/>
      <c r="E34" s="840"/>
      <c r="F34" s="838"/>
      <c r="G34" s="840"/>
      <c r="H34" s="183" t="s">
        <v>268</v>
      </c>
      <c r="I34" s="184" t="s">
        <v>269</v>
      </c>
      <c r="J34" s="185" t="s">
        <v>270</v>
      </c>
      <c r="K34" s="840"/>
      <c r="L34" s="835"/>
    </row>
    <row r="35" spans="1:21" ht="24" customHeight="1">
      <c r="A35" s="188">
        <v>1</v>
      </c>
      <c r="B35" s="157" t="s">
        <v>247</v>
      </c>
      <c r="C35" s="157" t="s">
        <v>218</v>
      </c>
      <c r="D35" s="155">
        <v>710</v>
      </c>
      <c r="E35" s="155">
        <f t="shared" ref="E35:E57" si="11">F35+G35</f>
        <v>955.61</v>
      </c>
      <c r="F35" s="160">
        <v>502.91</v>
      </c>
      <c r="G35" s="163">
        <v>452.7</v>
      </c>
      <c r="H35" s="155"/>
      <c r="I35" s="155">
        <f>E35*20%</f>
        <v>191.12200000000001</v>
      </c>
      <c r="J35" s="155"/>
      <c r="K35" s="155">
        <f>H35+I35+J35</f>
        <v>191.12200000000001</v>
      </c>
      <c r="L35" s="164">
        <f>E35-K35</f>
        <v>764.48800000000006</v>
      </c>
      <c r="N35" s="8">
        <v>1</v>
      </c>
      <c r="R35" s="152"/>
      <c r="S35" s="153"/>
      <c r="T35" s="152"/>
      <c r="U35" s="152"/>
    </row>
    <row r="36" spans="1:21" ht="24" customHeight="1">
      <c r="A36" s="189">
        <v>2</v>
      </c>
      <c r="B36" s="158" t="s">
        <v>248</v>
      </c>
      <c r="C36" s="158" t="s">
        <v>218</v>
      </c>
      <c r="D36" s="159">
        <v>710</v>
      </c>
      <c r="E36" s="159">
        <f t="shared" si="11"/>
        <v>618.96</v>
      </c>
      <c r="F36" s="160">
        <v>618.96</v>
      </c>
      <c r="G36" s="165"/>
      <c r="H36" s="159"/>
      <c r="I36" s="159">
        <f t="shared" ref="I36:I57" si="12">E36*20%</f>
        <v>123.79200000000002</v>
      </c>
      <c r="J36" s="159"/>
      <c r="K36" s="159">
        <f t="shared" ref="K36:K57" si="13">H36+I36+J36</f>
        <v>123.79200000000002</v>
      </c>
      <c r="L36" s="166">
        <f t="shared" ref="L36:L57" si="14">E36-K36</f>
        <v>495.16800000000001</v>
      </c>
      <c r="N36" s="8">
        <v>1</v>
      </c>
    </row>
    <row r="37" spans="1:21" ht="24" customHeight="1">
      <c r="A37" s="189">
        <v>3</v>
      </c>
      <c r="B37" s="158" t="s">
        <v>249</v>
      </c>
      <c r="C37" s="158" t="s">
        <v>218</v>
      </c>
      <c r="D37" s="159">
        <v>710</v>
      </c>
      <c r="E37" s="159">
        <f t="shared" si="11"/>
        <v>870.96</v>
      </c>
      <c r="F37" s="160">
        <v>870.96</v>
      </c>
      <c r="G37" s="165"/>
      <c r="H37" s="159"/>
      <c r="I37" s="159">
        <f t="shared" si="12"/>
        <v>174.19200000000001</v>
      </c>
      <c r="J37" s="159"/>
      <c r="K37" s="159">
        <f t="shared" si="13"/>
        <v>174.19200000000001</v>
      </c>
      <c r="L37" s="166">
        <f t="shared" si="14"/>
        <v>696.76800000000003</v>
      </c>
      <c r="N37" s="8">
        <v>1</v>
      </c>
    </row>
    <row r="38" spans="1:21" ht="24" customHeight="1">
      <c r="A38" s="189">
        <v>4</v>
      </c>
      <c r="B38" s="158" t="s">
        <v>279</v>
      </c>
      <c r="C38" s="158" t="s">
        <v>218</v>
      </c>
      <c r="D38" s="159">
        <v>710</v>
      </c>
      <c r="E38" s="159">
        <f t="shared" si="11"/>
        <v>865.56999999999994</v>
      </c>
      <c r="F38" s="160">
        <v>446.17</v>
      </c>
      <c r="G38" s="165">
        <v>419.4</v>
      </c>
      <c r="H38" s="159"/>
      <c r="I38" s="159">
        <f t="shared" si="12"/>
        <v>173.114</v>
      </c>
      <c r="J38" s="159"/>
      <c r="K38" s="159">
        <f t="shared" si="13"/>
        <v>173.114</v>
      </c>
      <c r="L38" s="166">
        <f t="shared" si="14"/>
        <v>692.4559999999999</v>
      </c>
      <c r="N38" s="8">
        <v>1</v>
      </c>
    </row>
    <row r="39" spans="1:21" ht="24" customHeight="1">
      <c r="A39" s="189">
        <v>5</v>
      </c>
      <c r="B39" s="158" t="s">
        <v>239</v>
      </c>
      <c r="C39" s="158" t="s">
        <v>218</v>
      </c>
      <c r="D39" s="159">
        <v>710</v>
      </c>
      <c r="E39" s="159">
        <f t="shared" si="11"/>
        <v>1405.68</v>
      </c>
      <c r="F39" s="160">
        <v>1405.68</v>
      </c>
      <c r="G39" s="165"/>
      <c r="H39" s="159"/>
      <c r="I39" s="159">
        <f t="shared" si="12"/>
        <v>281.13600000000002</v>
      </c>
      <c r="J39" s="159"/>
      <c r="K39" s="159">
        <f t="shared" si="13"/>
        <v>281.13600000000002</v>
      </c>
      <c r="L39" s="166">
        <f t="shared" si="14"/>
        <v>1124.5440000000001</v>
      </c>
      <c r="N39" s="8">
        <v>1</v>
      </c>
    </row>
    <row r="40" spans="1:21" ht="24" customHeight="1">
      <c r="A40" s="189">
        <v>6</v>
      </c>
      <c r="B40" s="186" t="s">
        <v>250</v>
      </c>
      <c r="C40" s="186" t="s">
        <v>218</v>
      </c>
      <c r="D40" s="187">
        <v>710</v>
      </c>
      <c r="E40" s="187">
        <f t="shared" si="11"/>
        <v>0</v>
      </c>
      <c r="F40" s="161"/>
      <c r="G40" s="192"/>
      <c r="H40" s="187"/>
      <c r="I40" s="187">
        <f t="shared" si="12"/>
        <v>0</v>
      </c>
      <c r="J40" s="187"/>
      <c r="K40" s="187">
        <f t="shared" si="13"/>
        <v>0</v>
      </c>
      <c r="L40" s="193">
        <f t="shared" si="14"/>
        <v>0</v>
      </c>
      <c r="N40" s="8">
        <v>1</v>
      </c>
    </row>
    <row r="41" spans="1:21" ht="24" customHeight="1">
      <c r="A41" s="189">
        <v>7</v>
      </c>
      <c r="B41" s="158" t="s">
        <v>251</v>
      </c>
      <c r="C41" s="158" t="s">
        <v>218</v>
      </c>
      <c r="D41" s="159">
        <v>710</v>
      </c>
      <c r="E41" s="159">
        <f t="shared" si="11"/>
        <v>829.97</v>
      </c>
      <c r="F41" s="160">
        <v>829.97</v>
      </c>
      <c r="G41" s="165"/>
      <c r="H41" s="159"/>
      <c r="I41" s="159">
        <f t="shared" si="12"/>
        <v>165.99400000000003</v>
      </c>
      <c r="J41" s="159"/>
      <c r="K41" s="159">
        <f t="shared" si="13"/>
        <v>165.99400000000003</v>
      </c>
      <c r="L41" s="166">
        <f t="shared" si="14"/>
        <v>663.976</v>
      </c>
      <c r="N41" s="8">
        <v>1</v>
      </c>
    </row>
    <row r="42" spans="1:21" ht="24" customHeight="1">
      <c r="A42" s="189">
        <v>8</v>
      </c>
      <c r="B42" s="158" t="s">
        <v>231</v>
      </c>
      <c r="C42" s="158" t="s">
        <v>218</v>
      </c>
      <c r="D42" s="159">
        <v>710</v>
      </c>
      <c r="E42" s="159">
        <f t="shared" si="11"/>
        <v>779.28</v>
      </c>
      <c r="F42" s="160">
        <v>779.28</v>
      </c>
      <c r="G42" s="165"/>
      <c r="H42" s="159"/>
      <c r="I42" s="159">
        <f t="shared" si="12"/>
        <v>155.85599999999999</v>
      </c>
      <c r="J42" s="159"/>
      <c r="K42" s="159">
        <f t="shared" si="13"/>
        <v>155.85599999999999</v>
      </c>
      <c r="L42" s="166">
        <f t="shared" si="14"/>
        <v>623.42399999999998</v>
      </c>
      <c r="N42" s="8">
        <v>1</v>
      </c>
    </row>
    <row r="43" spans="1:21" ht="24" customHeight="1">
      <c r="A43" s="189">
        <v>9</v>
      </c>
      <c r="B43" s="158" t="s">
        <v>252</v>
      </c>
      <c r="C43" s="158" t="s">
        <v>218</v>
      </c>
      <c r="D43" s="159">
        <v>710</v>
      </c>
      <c r="E43" s="159">
        <f t="shared" si="11"/>
        <v>733.44</v>
      </c>
      <c r="F43" s="160">
        <v>733.44</v>
      </c>
      <c r="G43" s="165"/>
      <c r="H43" s="159"/>
      <c r="I43" s="159">
        <f t="shared" si="12"/>
        <v>146.68800000000002</v>
      </c>
      <c r="J43" s="159"/>
      <c r="K43" s="159">
        <f t="shared" si="13"/>
        <v>146.68800000000002</v>
      </c>
      <c r="L43" s="166">
        <f t="shared" si="14"/>
        <v>586.75200000000007</v>
      </c>
      <c r="N43" s="8">
        <v>1</v>
      </c>
    </row>
    <row r="44" spans="1:21" ht="24" customHeight="1">
      <c r="A44" s="189">
        <v>10</v>
      </c>
      <c r="B44" s="158" t="s">
        <v>253</v>
      </c>
      <c r="C44" s="158" t="s">
        <v>218</v>
      </c>
      <c r="D44" s="159">
        <v>710</v>
      </c>
      <c r="E44" s="159">
        <f t="shared" si="11"/>
        <v>595.91999999999996</v>
      </c>
      <c r="F44" s="160">
        <v>595.91999999999996</v>
      </c>
      <c r="G44" s="165"/>
      <c r="H44" s="159"/>
      <c r="I44" s="159">
        <f t="shared" si="12"/>
        <v>119.184</v>
      </c>
      <c r="J44" s="159"/>
      <c r="K44" s="159">
        <f t="shared" si="13"/>
        <v>119.184</v>
      </c>
      <c r="L44" s="166">
        <f t="shared" si="14"/>
        <v>476.73599999999999</v>
      </c>
      <c r="N44" s="8">
        <v>1</v>
      </c>
    </row>
    <row r="45" spans="1:21" ht="24" customHeight="1">
      <c r="A45" s="189">
        <v>11</v>
      </c>
      <c r="B45" s="158" t="s">
        <v>254</v>
      </c>
      <c r="C45" s="158" t="s">
        <v>218</v>
      </c>
      <c r="D45" s="159">
        <v>710</v>
      </c>
      <c r="E45" s="159">
        <f t="shared" si="11"/>
        <v>760.01</v>
      </c>
      <c r="F45" s="160">
        <v>760.01</v>
      </c>
      <c r="G45" s="165"/>
      <c r="H45" s="159"/>
      <c r="I45" s="159">
        <f t="shared" si="12"/>
        <v>152.00200000000001</v>
      </c>
      <c r="J45" s="159"/>
      <c r="K45" s="159">
        <f t="shared" si="13"/>
        <v>152.00200000000001</v>
      </c>
      <c r="L45" s="166">
        <f t="shared" si="14"/>
        <v>608.00800000000004</v>
      </c>
      <c r="N45" s="8">
        <v>1</v>
      </c>
    </row>
    <row r="46" spans="1:21" ht="24" customHeight="1">
      <c r="A46" s="189">
        <v>12</v>
      </c>
      <c r="B46" s="158" t="s">
        <v>255</v>
      </c>
      <c r="C46" s="158" t="s">
        <v>218</v>
      </c>
      <c r="D46" s="159">
        <v>710</v>
      </c>
      <c r="E46" s="159">
        <f t="shared" si="11"/>
        <v>687.6</v>
      </c>
      <c r="F46" s="160">
        <v>687.6</v>
      </c>
      <c r="G46" s="165"/>
      <c r="H46" s="159"/>
      <c r="I46" s="159">
        <f t="shared" si="12"/>
        <v>137.52000000000001</v>
      </c>
      <c r="J46" s="159"/>
      <c r="K46" s="159">
        <f t="shared" si="13"/>
        <v>137.52000000000001</v>
      </c>
      <c r="L46" s="166">
        <f t="shared" si="14"/>
        <v>550.08000000000004</v>
      </c>
      <c r="N46" s="8">
        <v>1</v>
      </c>
    </row>
    <row r="47" spans="1:21" ht="24" customHeight="1">
      <c r="A47" s="189">
        <v>13</v>
      </c>
      <c r="B47" s="158" t="s">
        <v>240</v>
      </c>
      <c r="C47" s="158" t="s">
        <v>218</v>
      </c>
      <c r="D47" s="159">
        <v>710</v>
      </c>
      <c r="E47" s="159">
        <f t="shared" si="11"/>
        <v>1008.48</v>
      </c>
      <c r="F47" s="160">
        <v>1008.48</v>
      </c>
      <c r="G47" s="165"/>
      <c r="H47" s="159"/>
      <c r="I47" s="159">
        <f t="shared" si="12"/>
        <v>201.69600000000003</v>
      </c>
      <c r="J47" s="159"/>
      <c r="K47" s="159">
        <f t="shared" si="13"/>
        <v>201.69600000000003</v>
      </c>
      <c r="L47" s="166">
        <f t="shared" si="14"/>
        <v>806.78399999999999</v>
      </c>
      <c r="N47" s="8">
        <v>1</v>
      </c>
    </row>
    <row r="48" spans="1:21" ht="24" customHeight="1">
      <c r="A48" s="189">
        <v>14</v>
      </c>
      <c r="B48" s="158" t="s">
        <v>256</v>
      </c>
      <c r="C48" s="158" t="s">
        <v>218</v>
      </c>
      <c r="D48" s="159">
        <v>710</v>
      </c>
      <c r="E48" s="159">
        <f t="shared" si="11"/>
        <v>595.91999999999996</v>
      </c>
      <c r="F48" s="160">
        <v>595.91999999999996</v>
      </c>
      <c r="G48" s="165"/>
      <c r="H48" s="159"/>
      <c r="I48" s="159">
        <f t="shared" si="12"/>
        <v>119.184</v>
      </c>
      <c r="J48" s="159"/>
      <c r="K48" s="159">
        <f t="shared" si="13"/>
        <v>119.184</v>
      </c>
      <c r="L48" s="166">
        <f t="shared" si="14"/>
        <v>476.73599999999999</v>
      </c>
      <c r="N48" s="8">
        <v>1</v>
      </c>
    </row>
    <row r="49" spans="1:21" ht="24" customHeight="1">
      <c r="A49" s="189">
        <v>15</v>
      </c>
      <c r="B49" s="158" t="s">
        <v>257</v>
      </c>
      <c r="C49" s="158" t="s">
        <v>218</v>
      </c>
      <c r="D49" s="159">
        <v>710</v>
      </c>
      <c r="E49" s="159">
        <f t="shared" si="11"/>
        <v>595.91999999999996</v>
      </c>
      <c r="F49" s="160">
        <v>595.91999999999996</v>
      </c>
      <c r="G49" s="165"/>
      <c r="H49" s="159"/>
      <c r="I49" s="159">
        <f t="shared" si="12"/>
        <v>119.184</v>
      </c>
      <c r="J49" s="159"/>
      <c r="K49" s="159">
        <f t="shared" si="13"/>
        <v>119.184</v>
      </c>
      <c r="L49" s="166">
        <f t="shared" si="14"/>
        <v>476.73599999999999</v>
      </c>
      <c r="N49" s="8">
        <v>1</v>
      </c>
    </row>
    <row r="50" spans="1:21" ht="24" customHeight="1">
      <c r="A50" s="189">
        <v>16</v>
      </c>
      <c r="B50" s="158" t="s">
        <v>241</v>
      </c>
      <c r="C50" s="158" t="s">
        <v>218</v>
      </c>
      <c r="D50" s="159">
        <v>710</v>
      </c>
      <c r="E50" s="159">
        <f t="shared" si="11"/>
        <v>821.32</v>
      </c>
      <c r="F50" s="160">
        <v>821.32</v>
      </c>
      <c r="G50" s="165"/>
      <c r="H50" s="159"/>
      <c r="I50" s="159">
        <f t="shared" si="12"/>
        <v>164.26400000000001</v>
      </c>
      <c r="J50" s="159">
        <v>15.6</v>
      </c>
      <c r="K50" s="159">
        <f t="shared" si="13"/>
        <v>179.864</v>
      </c>
      <c r="L50" s="166">
        <f t="shared" si="14"/>
        <v>641.45600000000002</v>
      </c>
      <c r="N50" s="8">
        <v>1</v>
      </c>
    </row>
    <row r="51" spans="1:21" ht="24" customHeight="1">
      <c r="A51" s="189">
        <v>17</v>
      </c>
      <c r="B51" s="158" t="s">
        <v>242</v>
      </c>
      <c r="C51" s="158" t="s">
        <v>218</v>
      </c>
      <c r="D51" s="159">
        <v>710</v>
      </c>
      <c r="E51" s="159">
        <f t="shared" si="11"/>
        <v>504.24</v>
      </c>
      <c r="F51" s="160">
        <v>504.24</v>
      </c>
      <c r="G51" s="165"/>
      <c r="H51" s="159"/>
      <c r="I51" s="159">
        <f t="shared" si="12"/>
        <v>100.84800000000001</v>
      </c>
      <c r="J51" s="159"/>
      <c r="K51" s="159">
        <f t="shared" si="13"/>
        <v>100.84800000000001</v>
      </c>
      <c r="L51" s="166">
        <f t="shared" si="14"/>
        <v>403.392</v>
      </c>
      <c r="N51" s="8">
        <v>1</v>
      </c>
    </row>
    <row r="52" spans="1:21" ht="24" customHeight="1">
      <c r="A52" s="189">
        <v>18</v>
      </c>
      <c r="B52" s="158" t="s">
        <v>258</v>
      </c>
      <c r="C52" s="158" t="s">
        <v>218</v>
      </c>
      <c r="D52" s="159">
        <v>710</v>
      </c>
      <c r="E52" s="159">
        <f t="shared" si="11"/>
        <v>687.6</v>
      </c>
      <c r="F52" s="160">
        <v>687.6</v>
      </c>
      <c r="G52" s="165"/>
      <c r="H52" s="159"/>
      <c r="I52" s="159">
        <f t="shared" si="12"/>
        <v>137.52000000000001</v>
      </c>
      <c r="J52" s="159"/>
      <c r="K52" s="159">
        <f t="shared" si="13"/>
        <v>137.52000000000001</v>
      </c>
      <c r="L52" s="166">
        <f t="shared" si="14"/>
        <v>550.08000000000004</v>
      </c>
      <c r="N52" s="8">
        <v>1</v>
      </c>
    </row>
    <row r="53" spans="1:21" ht="24" customHeight="1">
      <c r="A53" s="189">
        <v>19</v>
      </c>
      <c r="B53" s="158" t="s">
        <v>243</v>
      </c>
      <c r="C53" s="158" t="s">
        <v>218</v>
      </c>
      <c r="D53" s="159">
        <v>710</v>
      </c>
      <c r="E53" s="159">
        <f t="shared" si="11"/>
        <v>687.6</v>
      </c>
      <c r="F53" s="160">
        <v>687.6</v>
      </c>
      <c r="G53" s="165"/>
      <c r="H53" s="159"/>
      <c r="I53" s="159">
        <f t="shared" si="12"/>
        <v>137.52000000000001</v>
      </c>
      <c r="J53" s="159"/>
      <c r="K53" s="159">
        <f t="shared" si="13"/>
        <v>137.52000000000001</v>
      </c>
      <c r="L53" s="166">
        <f t="shared" si="14"/>
        <v>550.08000000000004</v>
      </c>
      <c r="N53" s="8">
        <v>1</v>
      </c>
    </row>
    <row r="54" spans="1:21" ht="24" customHeight="1">
      <c r="A54" s="189">
        <v>20</v>
      </c>
      <c r="B54" s="158" t="s">
        <v>259</v>
      </c>
      <c r="C54" s="158" t="s">
        <v>218</v>
      </c>
      <c r="D54" s="159">
        <v>710</v>
      </c>
      <c r="E54" s="159">
        <f t="shared" si="11"/>
        <v>670.27</v>
      </c>
      <c r="F54" s="160">
        <v>670.27</v>
      </c>
      <c r="G54" s="165"/>
      <c r="H54" s="159"/>
      <c r="I54" s="159">
        <f t="shared" si="12"/>
        <v>134.054</v>
      </c>
      <c r="J54" s="159"/>
      <c r="K54" s="159">
        <f t="shared" si="13"/>
        <v>134.054</v>
      </c>
      <c r="L54" s="166">
        <f t="shared" si="14"/>
        <v>536.21600000000001</v>
      </c>
      <c r="N54" s="8">
        <v>1</v>
      </c>
    </row>
    <row r="55" spans="1:21" ht="24" customHeight="1">
      <c r="A55" s="189">
        <v>21</v>
      </c>
      <c r="B55" s="158" t="s">
        <v>260</v>
      </c>
      <c r="C55" s="158" t="s">
        <v>218</v>
      </c>
      <c r="D55" s="159">
        <v>710</v>
      </c>
      <c r="E55" s="159">
        <f t="shared" si="11"/>
        <v>779.28</v>
      </c>
      <c r="F55" s="160">
        <v>779.28</v>
      </c>
      <c r="G55" s="165"/>
      <c r="H55" s="159"/>
      <c r="I55" s="159">
        <f t="shared" si="12"/>
        <v>155.85599999999999</v>
      </c>
      <c r="J55" s="159"/>
      <c r="K55" s="159">
        <f t="shared" si="13"/>
        <v>155.85599999999999</v>
      </c>
      <c r="L55" s="166">
        <f t="shared" si="14"/>
        <v>623.42399999999998</v>
      </c>
      <c r="N55" s="8">
        <v>1</v>
      </c>
    </row>
    <row r="56" spans="1:21" ht="24" customHeight="1">
      <c r="A56" s="189">
        <v>22</v>
      </c>
      <c r="B56" s="158" t="s">
        <v>244</v>
      </c>
      <c r="C56" s="158" t="s">
        <v>218</v>
      </c>
      <c r="D56" s="159">
        <v>710</v>
      </c>
      <c r="E56" s="159">
        <f t="shared" si="11"/>
        <v>595.91999999999996</v>
      </c>
      <c r="F56" s="160">
        <v>595.91999999999996</v>
      </c>
      <c r="G56" s="165"/>
      <c r="H56" s="159"/>
      <c r="I56" s="159">
        <f t="shared" si="12"/>
        <v>119.184</v>
      </c>
      <c r="J56" s="159">
        <v>50</v>
      </c>
      <c r="K56" s="159">
        <f t="shared" si="13"/>
        <v>169.184</v>
      </c>
      <c r="L56" s="166">
        <f t="shared" si="14"/>
        <v>426.73599999999999</v>
      </c>
      <c r="N56" s="8">
        <v>1</v>
      </c>
    </row>
    <row r="57" spans="1:21" ht="24" customHeight="1">
      <c r="A57" s="189">
        <v>23</v>
      </c>
      <c r="B57" s="158" t="s">
        <v>245</v>
      </c>
      <c r="C57" s="158" t="s">
        <v>218</v>
      </c>
      <c r="D57" s="159">
        <v>710</v>
      </c>
      <c r="E57" s="159">
        <f t="shared" si="11"/>
        <v>366.72</v>
      </c>
      <c r="F57" s="160">
        <v>366.72</v>
      </c>
      <c r="G57" s="165"/>
      <c r="H57" s="159"/>
      <c r="I57" s="159">
        <f t="shared" si="12"/>
        <v>73.344000000000008</v>
      </c>
      <c r="J57" s="159">
        <v>11.55</v>
      </c>
      <c r="K57" s="159">
        <f t="shared" si="13"/>
        <v>84.894000000000005</v>
      </c>
      <c r="L57" s="166">
        <f t="shared" si="14"/>
        <v>281.82600000000002</v>
      </c>
      <c r="N57" s="8">
        <v>1</v>
      </c>
    </row>
    <row r="58" spans="1:21" ht="24" customHeight="1">
      <c r="A58" s="189">
        <v>24</v>
      </c>
      <c r="B58" s="158" t="s">
        <v>246</v>
      </c>
      <c r="C58" s="158" t="s">
        <v>218</v>
      </c>
      <c r="D58" s="159">
        <v>710</v>
      </c>
      <c r="E58" s="159">
        <f>F58+G58</f>
        <v>229.2</v>
      </c>
      <c r="F58" s="160">
        <v>229.2</v>
      </c>
      <c r="G58" s="165"/>
      <c r="H58" s="159"/>
      <c r="I58" s="159">
        <f t="shared" ref="I58:I63" si="15">E58*20%</f>
        <v>45.84</v>
      </c>
      <c r="J58" s="159"/>
      <c r="K58" s="159">
        <f t="shared" ref="K58:K63" si="16">H58+I58+J58</f>
        <v>45.84</v>
      </c>
      <c r="L58" s="166">
        <f t="shared" ref="L58:L63" si="17">E58-K58</f>
        <v>183.35999999999999</v>
      </c>
      <c r="N58" s="8">
        <v>1</v>
      </c>
    </row>
    <row r="59" spans="1:21" ht="24" customHeight="1">
      <c r="A59" s="189">
        <v>25</v>
      </c>
      <c r="B59" s="158" t="s">
        <v>277</v>
      </c>
      <c r="C59" s="158" t="s">
        <v>218</v>
      </c>
      <c r="D59" s="159">
        <v>710</v>
      </c>
      <c r="E59" s="159">
        <f>F59+G59</f>
        <v>620.59</v>
      </c>
      <c r="F59" s="160">
        <v>620.59</v>
      </c>
      <c r="G59" s="165"/>
      <c r="H59" s="159"/>
      <c r="I59" s="159">
        <f t="shared" si="15"/>
        <v>124.11800000000001</v>
      </c>
      <c r="J59" s="159"/>
      <c r="K59" s="159">
        <f t="shared" si="16"/>
        <v>124.11800000000001</v>
      </c>
      <c r="L59" s="166">
        <f t="shared" si="17"/>
        <v>496.47200000000004</v>
      </c>
      <c r="N59" s="8">
        <v>1</v>
      </c>
    </row>
    <row r="60" spans="1:21" ht="20.25" customHeight="1">
      <c r="A60" s="189">
        <v>26</v>
      </c>
      <c r="B60" s="158" t="s">
        <v>276</v>
      </c>
      <c r="C60" s="158" t="s">
        <v>218</v>
      </c>
      <c r="D60" s="159">
        <v>710</v>
      </c>
      <c r="E60" s="159"/>
      <c r="F60" s="160"/>
      <c r="G60" s="165"/>
      <c r="H60" s="159"/>
      <c r="I60" s="159">
        <f t="shared" si="15"/>
        <v>0</v>
      </c>
      <c r="J60" s="159"/>
      <c r="K60" s="159">
        <f t="shared" si="16"/>
        <v>0</v>
      </c>
      <c r="L60" s="166">
        <f t="shared" si="17"/>
        <v>0</v>
      </c>
      <c r="N60" s="8">
        <v>1</v>
      </c>
    </row>
    <row r="61" spans="1:21" ht="20.25" customHeight="1">
      <c r="A61" s="189">
        <v>27</v>
      </c>
      <c r="B61" s="158" t="s">
        <v>276</v>
      </c>
      <c r="C61" s="158" t="s">
        <v>218</v>
      </c>
      <c r="D61" s="159">
        <v>710</v>
      </c>
      <c r="E61" s="159"/>
      <c r="F61" s="160"/>
      <c r="G61" s="165"/>
      <c r="H61" s="159"/>
      <c r="I61" s="159">
        <f t="shared" si="15"/>
        <v>0</v>
      </c>
      <c r="J61" s="159"/>
      <c r="K61" s="159">
        <f t="shared" si="16"/>
        <v>0</v>
      </c>
      <c r="L61" s="166">
        <f t="shared" si="17"/>
        <v>0</v>
      </c>
      <c r="N61" s="8">
        <v>1</v>
      </c>
    </row>
    <row r="62" spans="1:21" ht="20.25" customHeight="1">
      <c r="A62" s="189">
        <v>28</v>
      </c>
      <c r="B62" s="158" t="s">
        <v>276</v>
      </c>
      <c r="C62" s="158" t="s">
        <v>218</v>
      </c>
      <c r="D62" s="159">
        <v>710</v>
      </c>
      <c r="E62" s="159"/>
      <c r="F62" s="160"/>
      <c r="G62" s="165"/>
      <c r="H62" s="159"/>
      <c r="I62" s="159">
        <f t="shared" si="15"/>
        <v>0</v>
      </c>
      <c r="J62" s="159"/>
      <c r="K62" s="159">
        <f t="shared" si="16"/>
        <v>0</v>
      </c>
      <c r="L62" s="166">
        <f t="shared" si="17"/>
        <v>0</v>
      </c>
      <c r="N62" s="8">
        <v>1</v>
      </c>
    </row>
    <row r="63" spans="1:21" ht="20.25" customHeight="1" thickBot="1">
      <c r="A63" s="189">
        <v>29</v>
      </c>
      <c r="B63" s="158" t="s">
        <v>276</v>
      </c>
      <c r="C63" s="158" t="s">
        <v>218</v>
      </c>
      <c r="D63" s="159">
        <v>710</v>
      </c>
      <c r="E63" s="159"/>
      <c r="F63" s="160"/>
      <c r="G63" s="165"/>
      <c r="H63" s="159"/>
      <c r="I63" s="159">
        <f t="shared" si="15"/>
        <v>0</v>
      </c>
      <c r="J63" s="159"/>
      <c r="K63" s="159">
        <f t="shared" si="16"/>
        <v>0</v>
      </c>
      <c r="L63" s="166">
        <f t="shared" si="17"/>
        <v>0</v>
      </c>
      <c r="N63" s="8">
        <v>1</v>
      </c>
    </row>
    <row r="64" spans="1:21" s="9" customFormat="1" ht="33" customHeight="1" thickBot="1">
      <c r="A64" s="831" t="s">
        <v>272</v>
      </c>
      <c r="B64" s="832"/>
      <c r="C64" s="833"/>
      <c r="D64" s="167" t="s">
        <v>271</v>
      </c>
      <c r="E64" s="168">
        <f t="shared" ref="E64:L64" si="18">SUM(E35:E63)</f>
        <v>17266.060000000005</v>
      </c>
      <c r="F64" s="169">
        <f t="shared" si="18"/>
        <v>16393.960000000003</v>
      </c>
      <c r="G64" s="168">
        <f t="shared" si="18"/>
        <v>872.09999999999991</v>
      </c>
      <c r="H64" s="169">
        <f t="shared" si="18"/>
        <v>0</v>
      </c>
      <c r="I64" s="168">
        <f t="shared" si="18"/>
        <v>3453.2120000000009</v>
      </c>
      <c r="J64" s="169">
        <f t="shared" si="18"/>
        <v>77.149999999999991</v>
      </c>
      <c r="K64" s="168">
        <f t="shared" si="18"/>
        <v>3530.3620000000005</v>
      </c>
      <c r="L64" s="170">
        <f t="shared" si="18"/>
        <v>13735.698000000002</v>
      </c>
      <c r="N64" s="9">
        <f>SUM(N35:N63)</f>
        <v>29</v>
      </c>
      <c r="U64" s="162"/>
    </row>
    <row r="65" spans="1:21" s="9" customFormat="1" ht="33" customHeight="1">
      <c r="A65" s="171"/>
      <c r="B65" s="171"/>
      <c r="C65" s="171"/>
      <c r="D65" s="172"/>
      <c r="E65" s="173"/>
      <c r="F65" s="173"/>
      <c r="G65" s="173"/>
      <c r="H65" s="173"/>
      <c r="I65" s="173"/>
      <c r="J65" s="173"/>
      <c r="K65" s="173"/>
      <c r="L65" s="173"/>
      <c r="N65" s="9">
        <f>N64+N30+N17</f>
        <v>51</v>
      </c>
      <c r="U65" s="162"/>
    </row>
    <row r="66" spans="1:21" s="9" customFormat="1" ht="33" customHeight="1">
      <c r="A66" s="836" t="s">
        <v>273</v>
      </c>
      <c r="B66" s="836"/>
      <c r="C66" s="836"/>
      <c r="D66" s="836"/>
      <c r="E66" s="836"/>
      <c r="F66" s="836"/>
      <c r="G66" s="836"/>
      <c r="H66" s="836"/>
      <c r="I66" s="836"/>
      <c r="J66" s="836"/>
      <c r="K66" s="836"/>
      <c r="L66" s="836"/>
      <c r="U66" s="162"/>
    </row>
    <row r="67" spans="1:21" s="9" customFormat="1" ht="33" customHeight="1">
      <c r="A67" s="836" t="s">
        <v>274</v>
      </c>
      <c r="B67" s="836"/>
      <c r="C67" s="836"/>
      <c r="D67" s="836"/>
      <c r="E67" s="836"/>
      <c r="F67" s="836"/>
      <c r="G67" s="836"/>
      <c r="H67" s="836"/>
      <c r="I67" s="836"/>
      <c r="J67" s="836"/>
      <c r="K67" s="836"/>
      <c r="L67" s="836"/>
      <c r="U67" s="162"/>
    </row>
    <row r="72" spans="1:21">
      <c r="E72" s="194">
        <f>E64+E30+E17</f>
        <v>24429.060000000005</v>
      </c>
      <c r="F72" s="194"/>
      <c r="G72" s="194">
        <f>E64-J72</f>
        <v>17188.910000000003</v>
      </c>
      <c r="H72" s="194"/>
      <c r="I72" s="194"/>
      <c r="J72" s="194">
        <f>J64+J30+J17</f>
        <v>77.149999999999991</v>
      </c>
    </row>
    <row r="73" spans="1:21">
      <c r="D73" s="8" t="s">
        <v>263</v>
      </c>
      <c r="E73" s="194">
        <f>E72-J72</f>
        <v>24351.910000000003</v>
      </c>
    </row>
    <row r="74" spans="1:21">
      <c r="E74" s="8">
        <v>29303</v>
      </c>
    </row>
    <row r="75" spans="1:21">
      <c r="E75" s="8">
        <f>49748+4792</f>
        <v>54540</v>
      </c>
    </row>
    <row r="76" spans="1:21">
      <c r="E76" s="194">
        <f>SUM(E73:E75)</f>
        <v>108194.91</v>
      </c>
    </row>
  </sheetData>
  <mergeCells count="39">
    <mergeCell ref="A17:C17"/>
    <mergeCell ref="B12:B13"/>
    <mergeCell ref="H19:J19"/>
    <mergeCell ref="A1:L1"/>
    <mergeCell ref="A32:L32"/>
    <mergeCell ref="A2:A3"/>
    <mergeCell ref="B2:B3"/>
    <mergeCell ref="C2:C3"/>
    <mergeCell ref="D2:D3"/>
    <mergeCell ref="E2:E3"/>
    <mergeCell ref="F2:F3"/>
    <mergeCell ref="G2:G3"/>
    <mergeCell ref="H2:J2"/>
    <mergeCell ref="K2:K3"/>
    <mergeCell ref="L2:L3"/>
    <mergeCell ref="K19:K20"/>
    <mergeCell ref="A18:L18"/>
    <mergeCell ref="A19:A20"/>
    <mergeCell ref="B19:B20"/>
    <mergeCell ref="C19:C20"/>
    <mergeCell ref="D19:D20"/>
    <mergeCell ref="E19:E20"/>
    <mergeCell ref="F19:F20"/>
    <mergeCell ref="G19:G20"/>
    <mergeCell ref="A64:C64"/>
    <mergeCell ref="L19:L20"/>
    <mergeCell ref="A67:L67"/>
    <mergeCell ref="A66:L66"/>
    <mergeCell ref="A30:C30"/>
    <mergeCell ref="F33:F34"/>
    <mergeCell ref="G33:G34"/>
    <mergeCell ref="H33:J33"/>
    <mergeCell ref="K33:K34"/>
    <mergeCell ref="L33:L34"/>
    <mergeCell ref="A33:A34"/>
    <mergeCell ref="B33:B34"/>
    <mergeCell ref="C33:C34"/>
    <mergeCell ref="D33:D34"/>
    <mergeCell ref="E33:E34"/>
  </mergeCells>
  <printOptions horizontalCentered="1"/>
  <pageMargins left="0.11811023622047245" right="0.11811023622047245" top="0" bottom="0" header="0.11811023622047245" footer="0.11811023622047245"/>
  <pageSetup paperSize="9" scale="87" orientation="landscape" r:id="rId1"/>
  <rowBreaks count="2" manualBreakCount="2">
    <brk id="17" max="11" man="1"/>
    <brk id="31" max="11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view="pageBreakPreview" zoomScaleSheetLayoutView="100" workbookViewId="0">
      <selection activeCell="M10" sqref="M10"/>
    </sheetView>
  </sheetViews>
  <sheetFormatPr defaultRowHeight="12.75"/>
  <cols>
    <col min="1" max="1" width="5.28515625" style="100" customWidth="1"/>
    <col min="2" max="2" width="45.42578125" style="100" customWidth="1"/>
    <col min="3" max="3" width="8.28515625" style="101" customWidth="1"/>
    <col min="4" max="4" width="9" style="203" customWidth="1"/>
    <col min="5" max="5" width="9.85546875" style="100" bestFit="1" customWidth="1"/>
    <col min="6" max="6" width="8.7109375" style="100" bestFit="1" customWidth="1"/>
    <col min="7" max="236" width="9.140625" style="100"/>
    <col min="237" max="237" width="5.28515625" style="100" customWidth="1"/>
    <col min="238" max="238" width="56.5703125" style="100" customWidth="1"/>
    <col min="239" max="239" width="6.28515625" style="100" customWidth="1"/>
    <col min="240" max="240" width="9" style="100" customWidth="1"/>
    <col min="241" max="241" width="13.7109375" style="100" customWidth="1"/>
    <col min="242" max="242" width="12.28515625" style="100" customWidth="1"/>
    <col min="243" max="243" width="20.140625" style="100" customWidth="1"/>
    <col min="244" max="492" width="9.140625" style="100"/>
    <col min="493" max="493" width="5.28515625" style="100" customWidth="1"/>
    <col min="494" max="494" width="56.5703125" style="100" customWidth="1"/>
    <col min="495" max="495" width="6.28515625" style="100" customWidth="1"/>
    <col min="496" max="496" width="9" style="100" customWidth="1"/>
    <col min="497" max="497" width="13.7109375" style="100" customWidth="1"/>
    <col min="498" max="498" width="12.28515625" style="100" customWidth="1"/>
    <col min="499" max="499" width="20.140625" style="100" customWidth="1"/>
    <col min="500" max="748" width="9.140625" style="100"/>
    <col min="749" max="749" width="5.28515625" style="100" customWidth="1"/>
    <col min="750" max="750" width="56.5703125" style="100" customWidth="1"/>
    <col min="751" max="751" width="6.28515625" style="100" customWidth="1"/>
    <col min="752" max="752" width="9" style="100" customWidth="1"/>
    <col min="753" max="753" width="13.7109375" style="100" customWidth="1"/>
    <col min="754" max="754" width="12.28515625" style="100" customWidth="1"/>
    <col min="755" max="755" width="20.140625" style="100" customWidth="1"/>
    <col min="756" max="1004" width="9.140625" style="100"/>
    <col min="1005" max="1005" width="5.28515625" style="100" customWidth="1"/>
    <col min="1006" max="1006" width="56.5703125" style="100" customWidth="1"/>
    <col min="1007" max="1007" width="6.28515625" style="100" customWidth="1"/>
    <col min="1008" max="1008" width="9" style="100" customWidth="1"/>
    <col min="1009" max="1009" width="13.7109375" style="100" customWidth="1"/>
    <col min="1010" max="1010" width="12.28515625" style="100" customWidth="1"/>
    <col min="1011" max="1011" width="20.140625" style="100" customWidth="1"/>
    <col min="1012" max="1260" width="9.140625" style="100"/>
    <col min="1261" max="1261" width="5.28515625" style="100" customWidth="1"/>
    <col min="1262" max="1262" width="56.5703125" style="100" customWidth="1"/>
    <col min="1263" max="1263" width="6.28515625" style="100" customWidth="1"/>
    <col min="1264" max="1264" width="9" style="100" customWidth="1"/>
    <col min="1265" max="1265" width="13.7109375" style="100" customWidth="1"/>
    <col min="1266" max="1266" width="12.28515625" style="100" customWidth="1"/>
    <col min="1267" max="1267" width="20.140625" style="100" customWidth="1"/>
    <col min="1268" max="1516" width="9.140625" style="100"/>
    <col min="1517" max="1517" width="5.28515625" style="100" customWidth="1"/>
    <col min="1518" max="1518" width="56.5703125" style="100" customWidth="1"/>
    <col min="1519" max="1519" width="6.28515625" style="100" customWidth="1"/>
    <col min="1520" max="1520" width="9" style="100" customWidth="1"/>
    <col min="1521" max="1521" width="13.7109375" style="100" customWidth="1"/>
    <col min="1522" max="1522" width="12.28515625" style="100" customWidth="1"/>
    <col min="1523" max="1523" width="20.140625" style="100" customWidth="1"/>
    <col min="1524" max="1772" width="9.140625" style="100"/>
    <col min="1773" max="1773" width="5.28515625" style="100" customWidth="1"/>
    <col min="1774" max="1774" width="56.5703125" style="100" customWidth="1"/>
    <col min="1775" max="1775" width="6.28515625" style="100" customWidth="1"/>
    <col min="1776" max="1776" width="9" style="100" customWidth="1"/>
    <col min="1777" max="1777" width="13.7109375" style="100" customWidth="1"/>
    <col min="1778" max="1778" width="12.28515625" style="100" customWidth="1"/>
    <col min="1779" max="1779" width="20.140625" style="100" customWidth="1"/>
    <col min="1780" max="2028" width="9.140625" style="100"/>
    <col min="2029" max="2029" width="5.28515625" style="100" customWidth="1"/>
    <col min="2030" max="2030" width="56.5703125" style="100" customWidth="1"/>
    <col min="2031" max="2031" width="6.28515625" style="100" customWidth="1"/>
    <col min="2032" max="2032" width="9" style="100" customWidth="1"/>
    <col min="2033" max="2033" width="13.7109375" style="100" customWidth="1"/>
    <col min="2034" max="2034" width="12.28515625" style="100" customWidth="1"/>
    <col min="2035" max="2035" width="20.140625" style="100" customWidth="1"/>
    <col min="2036" max="2284" width="9.140625" style="100"/>
    <col min="2285" max="2285" width="5.28515625" style="100" customWidth="1"/>
    <col min="2286" max="2286" width="56.5703125" style="100" customWidth="1"/>
    <col min="2287" max="2287" width="6.28515625" style="100" customWidth="1"/>
    <col min="2288" max="2288" width="9" style="100" customWidth="1"/>
    <col min="2289" max="2289" width="13.7109375" style="100" customWidth="1"/>
    <col min="2290" max="2290" width="12.28515625" style="100" customWidth="1"/>
    <col min="2291" max="2291" width="20.140625" style="100" customWidth="1"/>
    <col min="2292" max="2540" width="9.140625" style="100"/>
    <col min="2541" max="2541" width="5.28515625" style="100" customWidth="1"/>
    <col min="2542" max="2542" width="56.5703125" style="100" customWidth="1"/>
    <col min="2543" max="2543" width="6.28515625" style="100" customWidth="1"/>
    <col min="2544" max="2544" width="9" style="100" customWidth="1"/>
    <col min="2545" max="2545" width="13.7109375" style="100" customWidth="1"/>
    <col min="2546" max="2546" width="12.28515625" style="100" customWidth="1"/>
    <col min="2547" max="2547" width="20.140625" style="100" customWidth="1"/>
    <col min="2548" max="2796" width="9.140625" style="100"/>
    <col min="2797" max="2797" width="5.28515625" style="100" customWidth="1"/>
    <col min="2798" max="2798" width="56.5703125" style="100" customWidth="1"/>
    <col min="2799" max="2799" width="6.28515625" style="100" customWidth="1"/>
    <col min="2800" max="2800" width="9" style="100" customWidth="1"/>
    <col min="2801" max="2801" width="13.7109375" style="100" customWidth="1"/>
    <col min="2802" max="2802" width="12.28515625" style="100" customWidth="1"/>
    <col min="2803" max="2803" width="20.140625" style="100" customWidth="1"/>
    <col min="2804" max="3052" width="9.140625" style="100"/>
    <col min="3053" max="3053" width="5.28515625" style="100" customWidth="1"/>
    <col min="3054" max="3054" width="56.5703125" style="100" customWidth="1"/>
    <col min="3055" max="3055" width="6.28515625" style="100" customWidth="1"/>
    <col min="3056" max="3056" width="9" style="100" customWidth="1"/>
    <col min="3057" max="3057" width="13.7109375" style="100" customWidth="1"/>
    <col min="3058" max="3058" width="12.28515625" style="100" customWidth="1"/>
    <col min="3059" max="3059" width="20.140625" style="100" customWidth="1"/>
    <col min="3060" max="3308" width="9.140625" style="100"/>
    <col min="3309" max="3309" width="5.28515625" style="100" customWidth="1"/>
    <col min="3310" max="3310" width="56.5703125" style="100" customWidth="1"/>
    <col min="3311" max="3311" width="6.28515625" style="100" customWidth="1"/>
    <col min="3312" max="3312" width="9" style="100" customWidth="1"/>
    <col min="3313" max="3313" width="13.7109375" style="100" customWidth="1"/>
    <col min="3314" max="3314" width="12.28515625" style="100" customWidth="1"/>
    <col min="3315" max="3315" width="20.140625" style="100" customWidth="1"/>
    <col min="3316" max="3564" width="9.140625" style="100"/>
    <col min="3565" max="3565" width="5.28515625" style="100" customWidth="1"/>
    <col min="3566" max="3566" width="56.5703125" style="100" customWidth="1"/>
    <col min="3567" max="3567" width="6.28515625" style="100" customWidth="1"/>
    <col min="3568" max="3568" width="9" style="100" customWidth="1"/>
    <col min="3569" max="3569" width="13.7109375" style="100" customWidth="1"/>
    <col min="3570" max="3570" width="12.28515625" style="100" customWidth="1"/>
    <col min="3571" max="3571" width="20.140625" style="100" customWidth="1"/>
    <col min="3572" max="3820" width="9.140625" style="100"/>
    <col min="3821" max="3821" width="5.28515625" style="100" customWidth="1"/>
    <col min="3822" max="3822" width="56.5703125" style="100" customWidth="1"/>
    <col min="3823" max="3823" width="6.28515625" style="100" customWidth="1"/>
    <col min="3824" max="3824" width="9" style="100" customWidth="1"/>
    <col min="3825" max="3825" width="13.7109375" style="100" customWidth="1"/>
    <col min="3826" max="3826" width="12.28515625" style="100" customWidth="1"/>
    <col min="3827" max="3827" width="20.140625" style="100" customWidth="1"/>
    <col min="3828" max="4076" width="9.140625" style="100"/>
    <col min="4077" max="4077" width="5.28515625" style="100" customWidth="1"/>
    <col min="4078" max="4078" width="56.5703125" style="100" customWidth="1"/>
    <col min="4079" max="4079" width="6.28515625" style="100" customWidth="1"/>
    <col min="4080" max="4080" width="9" style="100" customWidth="1"/>
    <col min="4081" max="4081" width="13.7109375" style="100" customWidth="1"/>
    <col min="4082" max="4082" width="12.28515625" style="100" customWidth="1"/>
    <col min="4083" max="4083" width="20.140625" style="100" customWidth="1"/>
    <col min="4084" max="4332" width="9.140625" style="100"/>
    <col min="4333" max="4333" width="5.28515625" style="100" customWidth="1"/>
    <col min="4334" max="4334" width="56.5703125" style="100" customWidth="1"/>
    <col min="4335" max="4335" width="6.28515625" style="100" customWidth="1"/>
    <col min="4336" max="4336" width="9" style="100" customWidth="1"/>
    <col min="4337" max="4337" width="13.7109375" style="100" customWidth="1"/>
    <col min="4338" max="4338" width="12.28515625" style="100" customWidth="1"/>
    <col min="4339" max="4339" width="20.140625" style="100" customWidth="1"/>
    <col min="4340" max="4588" width="9.140625" style="100"/>
    <col min="4589" max="4589" width="5.28515625" style="100" customWidth="1"/>
    <col min="4590" max="4590" width="56.5703125" style="100" customWidth="1"/>
    <col min="4591" max="4591" width="6.28515625" style="100" customWidth="1"/>
    <col min="4592" max="4592" width="9" style="100" customWidth="1"/>
    <col min="4593" max="4593" width="13.7109375" style="100" customWidth="1"/>
    <col min="4594" max="4594" width="12.28515625" style="100" customWidth="1"/>
    <col min="4595" max="4595" width="20.140625" style="100" customWidth="1"/>
    <col min="4596" max="4844" width="9.140625" style="100"/>
    <col min="4845" max="4845" width="5.28515625" style="100" customWidth="1"/>
    <col min="4846" max="4846" width="56.5703125" style="100" customWidth="1"/>
    <col min="4847" max="4847" width="6.28515625" style="100" customWidth="1"/>
    <col min="4848" max="4848" width="9" style="100" customWidth="1"/>
    <col min="4849" max="4849" width="13.7109375" style="100" customWidth="1"/>
    <col min="4850" max="4850" width="12.28515625" style="100" customWidth="1"/>
    <col min="4851" max="4851" width="20.140625" style="100" customWidth="1"/>
    <col min="4852" max="5100" width="9.140625" style="100"/>
    <col min="5101" max="5101" width="5.28515625" style="100" customWidth="1"/>
    <col min="5102" max="5102" width="56.5703125" style="100" customWidth="1"/>
    <col min="5103" max="5103" width="6.28515625" style="100" customWidth="1"/>
    <col min="5104" max="5104" width="9" style="100" customWidth="1"/>
    <col min="5105" max="5105" width="13.7109375" style="100" customWidth="1"/>
    <col min="5106" max="5106" width="12.28515625" style="100" customWidth="1"/>
    <col min="5107" max="5107" width="20.140625" style="100" customWidth="1"/>
    <col min="5108" max="5356" width="9.140625" style="100"/>
    <col min="5357" max="5357" width="5.28515625" style="100" customWidth="1"/>
    <col min="5358" max="5358" width="56.5703125" style="100" customWidth="1"/>
    <col min="5359" max="5359" width="6.28515625" style="100" customWidth="1"/>
    <col min="5360" max="5360" width="9" style="100" customWidth="1"/>
    <col min="5361" max="5361" width="13.7109375" style="100" customWidth="1"/>
    <col min="5362" max="5362" width="12.28515625" style="100" customWidth="1"/>
    <col min="5363" max="5363" width="20.140625" style="100" customWidth="1"/>
    <col min="5364" max="5612" width="9.140625" style="100"/>
    <col min="5613" max="5613" width="5.28515625" style="100" customWidth="1"/>
    <col min="5614" max="5614" width="56.5703125" style="100" customWidth="1"/>
    <col min="5615" max="5615" width="6.28515625" style="100" customWidth="1"/>
    <col min="5616" max="5616" width="9" style="100" customWidth="1"/>
    <col min="5617" max="5617" width="13.7109375" style="100" customWidth="1"/>
    <col min="5618" max="5618" width="12.28515625" style="100" customWidth="1"/>
    <col min="5619" max="5619" width="20.140625" style="100" customWidth="1"/>
    <col min="5620" max="5868" width="9.140625" style="100"/>
    <col min="5869" max="5869" width="5.28515625" style="100" customWidth="1"/>
    <col min="5870" max="5870" width="56.5703125" style="100" customWidth="1"/>
    <col min="5871" max="5871" width="6.28515625" style="100" customWidth="1"/>
    <col min="5872" max="5872" width="9" style="100" customWidth="1"/>
    <col min="5873" max="5873" width="13.7109375" style="100" customWidth="1"/>
    <col min="5874" max="5874" width="12.28515625" style="100" customWidth="1"/>
    <col min="5875" max="5875" width="20.140625" style="100" customWidth="1"/>
    <col min="5876" max="6124" width="9.140625" style="100"/>
    <col min="6125" max="6125" width="5.28515625" style="100" customWidth="1"/>
    <col min="6126" max="6126" width="56.5703125" style="100" customWidth="1"/>
    <col min="6127" max="6127" width="6.28515625" style="100" customWidth="1"/>
    <col min="6128" max="6128" width="9" style="100" customWidth="1"/>
    <col min="6129" max="6129" width="13.7109375" style="100" customWidth="1"/>
    <col min="6130" max="6130" width="12.28515625" style="100" customWidth="1"/>
    <col min="6131" max="6131" width="20.140625" style="100" customWidth="1"/>
    <col min="6132" max="6380" width="9.140625" style="100"/>
    <col min="6381" max="6381" width="5.28515625" style="100" customWidth="1"/>
    <col min="6382" max="6382" width="56.5703125" style="100" customWidth="1"/>
    <col min="6383" max="6383" width="6.28515625" style="100" customWidth="1"/>
    <col min="6384" max="6384" width="9" style="100" customWidth="1"/>
    <col min="6385" max="6385" width="13.7109375" style="100" customWidth="1"/>
    <col min="6386" max="6386" width="12.28515625" style="100" customWidth="1"/>
    <col min="6387" max="6387" width="20.140625" style="100" customWidth="1"/>
    <col min="6388" max="6636" width="9.140625" style="100"/>
    <col min="6637" max="6637" width="5.28515625" style="100" customWidth="1"/>
    <col min="6638" max="6638" width="56.5703125" style="100" customWidth="1"/>
    <col min="6639" max="6639" width="6.28515625" style="100" customWidth="1"/>
    <col min="6640" max="6640" width="9" style="100" customWidth="1"/>
    <col min="6641" max="6641" width="13.7109375" style="100" customWidth="1"/>
    <col min="6642" max="6642" width="12.28515625" style="100" customWidth="1"/>
    <col min="6643" max="6643" width="20.140625" style="100" customWidth="1"/>
    <col min="6644" max="6892" width="9.140625" style="100"/>
    <col min="6893" max="6893" width="5.28515625" style="100" customWidth="1"/>
    <col min="6894" max="6894" width="56.5703125" style="100" customWidth="1"/>
    <col min="6895" max="6895" width="6.28515625" style="100" customWidth="1"/>
    <col min="6896" max="6896" width="9" style="100" customWidth="1"/>
    <col min="6897" max="6897" width="13.7109375" style="100" customWidth="1"/>
    <col min="6898" max="6898" width="12.28515625" style="100" customWidth="1"/>
    <col min="6899" max="6899" width="20.140625" style="100" customWidth="1"/>
    <col min="6900" max="7148" width="9.140625" style="100"/>
    <col min="7149" max="7149" width="5.28515625" style="100" customWidth="1"/>
    <col min="7150" max="7150" width="56.5703125" style="100" customWidth="1"/>
    <col min="7151" max="7151" width="6.28515625" style="100" customWidth="1"/>
    <col min="7152" max="7152" width="9" style="100" customWidth="1"/>
    <col min="7153" max="7153" width="13.7109375" style="100" customWidth="1"/>
    <col min="7154" max="7154" width="12.28515625" style="100" customWidth="1"/>
    <col min="7155" max="7155" width="20.140625" style="100" customWidth="1"/>
    <col min="7156" max="7404" width="9.140625" style="100"/>
    <col min="7405" max="7405" width="5.28515625" style="100" customWidth="1"/>
    <col min="7406" max="7406" width="56.5703125" style="100" customWidth="1"/>
    <col min="7407" max="7407" width="6.28515625" style="100" customWidth="1"/>
    <col min="7408" max="7408" width="9" style="100" customWidth="1"/>
    <col min="7409" max="7409" width="13.7109375" style="100" customWidth="1"/>
    <col min="7410" max="7410" width="12.28515625" style="100" customWidth="1"/>
    <col min="7411" max="7411" width="20.140625" style="100" customWidth="1"/>
    <col min="7412" max="7660" width="9.140625" style="100"/>
    <col min="7661" max="7661" width="5.28515625" style="100" customWidth="1"/>
    <col min="7662" max="7662" width="56.5703125" style="100" customWidth="1"/>
    <col min="7663" max="7663" width="6.28515625" style="100" customWidth="1"/>
    <col min="7664" max="7664" width="9" style="100" customWidth="1"/>
    <col min="7665" max="7665" width="13.7109375" style="100" customWidth="1"/>
    <col min="7666" max="7666" width="12.28515625" style="100" customWidth="1"/>
    <col min="7667" max="7667" width="20.140625" style="100" customWidth="1"/>
    <col min="7668" max="7916" width="9.140625" style="100"/>
    <col min="7917" max="7917" width="5.28515625" style="100" customWidth="1"/>
    <col min="7918" max="7918" width="56.5703125" style="100" customWidth="1"/>
    <col min="7919" max="7919" width="6.28515625" style="100" customWidth="1"/>
    <col min="7920" max="7920" width="9" style="100" customWidth="1"/>
    <col min="7921" max="7921" width="13.7109375" style="100" customWidth="1"/>
    <col min="7922" max="7922" width="12.28515625" style="100" customWidth="1"/>
    <col min="7923" max="7923" width="20.140625" style="100" customWidth="1"/>
    <col min="7924" max="8172" width="9.140625" style="100"/>
    <col min="8173" max="8173" width="5.28515625" style="100" customWidth="1"/>
    <col min="8174" max="8174" width="56.5703125" style="100" customWidth="1"/>
    <col min="8175" max="8175" width="6.28515625" style="100" customWidth="1"/>
    <col min="8176" max="8176" width="9" style="100" customWidth="1"/>
    <col min="8177" max="8177" width="13.7109375" style="100" customWidth="1"/>
    <col min="8178" max="8178" width="12.28515625" style="100" customWidth="1"/>
    <col min="8179" max="8179" width="20.140625" style="100" customWidth="1"/>
    <col min="8180" max="8428" width="9.140625" style="100"/>
    <col min="8429" max="8429" width="5.28515625" style="100" customWidth="1"/>
    <col min="8430" max="8430" width="56.5703125" style="100" customWidth="1"/>
    <col min="8431" max="8431" width="6.28515625" style="100" customWidth="1"/>
    <col min="8432" max="8432" width="9" style="100" customWidth="1"/>
    <col min="8433" max="8433" width="13.7109375" style="100" customWidth="1"/>
    <col min="8434" max="8434" width="12.28515625" style="100" customWidth="1"/>
    <col min="8435" max="8435" width="20.140625" style="100" customWidth="1"/>
    <col min="8436" max="8684" width="9.140625" style="100"/>
    <col min="8685" max="8685" width="5.28515625" style="100" customWidth="1"/>
    <col min="8686" max="8686" width="56.5703125" style="100" customWidth="1"/>
    <col min="8687" max="8687" width="6.28515625" style="100" customWidth="1"/>
    <col min="8688" max="8688" width="9" style="100" customWidth="1"/>
    <col min="8689" max="8689" width="13.7109375" style="100" customWidth="1"/>
    <col min="8690" max="8690" width="12.28515625" style="100" customWidth="1"/>
    <col min="8691" max="8691" width="20.140625" style="100" customWidth="1"/>
    <col min="8692" max="8940" width="9.140625" style="100"/>
    <col min="8941" max="8941" width="5.28515625" style="100" customWidth="1"/>
    <col min="8942" max="8942" width="56.5703125" style="100" customWidth="1"/>
    <col min="8943" max="8943" width="6.28515625" style="100" customWidth="1"/>
    <col min="8944" max="8944" width="9" style="100" customWidth="1"/>
    <col min="8945" max="8945" width="13.7109375" style="100" customWidth="1"/>
    <col min="8946" max="8946" width="12.28515625" style="100" customWidth="1"/>
    <col min="8947" max="8947" width="20.140625" style="100" customWidth="1"/>
    <col min="8948" max="9196" width="9.140625" style="100"/>
    <col min="9197" max="9197" width="5.28515625" style="100" customWidth="1"/>
    <col min="9198" max="9198" width="56.5703125" style="100" customWidth="1"/>
    <col min="9199" max="9199" width="6.28515625" style="100" customWidth="1"/>
    <col min="9200" max="9200" width="9" style="100" customWidth="1"/>
    <col min="9201" max="9201" width="13.7109375" style="100" customWidth="1"/>
    <col min="9202" max="9202" width="12.28515625" style="100" customWidth="1"/>
    <col min="9203" max="9203" width="20.140625" style="100" customWidth="1"/>
    <col min="9204" max="9452" width="9.140625" style="100"/>
    <col min="9453" max="9453" width="5.28515625" style="100" customWidth="1"/>
    <col min="9454" max="9454" width="56.5703125" style="100" customWidth="1"/>
    <col min="9455" max="9455" width="6.28515625" style="100" customWidth="1"/>
    <col min="9456" max="9456" width="9" style="100" customWidth="1"/>
    <col min="9457" max="9457" width="13.7109375" style="100" customWidth="1"/>
    <col min="9458" max="9458" width="12.28515625" style="100" customWidth="1"/>
    <col min="9459" max="9459" width="20.140625" style="100" customWidth="1"/>
    <col min="9460" max="9708" width="9.140625" style="100"/>
    <col min="9709" max="9709" width="5.28515625" style="100" customWidth="1"/>
    <col min="9710" max="9710" width="56.5703125" style="100" customWidth="1"/>
    <col min="9711" max="9711" width="6.28515625" style="100" customWidth="1"/>
    <col min="9712" max="9712" width="9" style="100" customWidth="1"/>
    <col min="9713" max="9713" width="13.7109375" style="100" customWidth="1"/>
    <col min="9714" max="9714" width="12.28515625" style="100" customWidth="1"/>
    <col min="9715" max="9715" width="20.140625" style="100" customWidth="1"/>
    <col min="9716" max="9964" width="9.140625" style="100"/>
    <col min="9965" max="9965" width="5.28515625" style="100" customWidth="1"/>
    <col min="9966" max="9966" width="56.5703125" style="100" customWidth="1"/>
    <col min="9967" max="9967" width="6.28515625" style="100" customWidth="1"/>
    <col min="9968" max="9968" width="9" style="100" customWidth="1"/>
    <col min="9969" max="9969" width="13.7109375" style="100" customWidth="1"/>
    <col min="9970" max="9970" width="12.28515625" style="100" customWidth="1"/>
    <col min="9971" max="9971" width="20.140625" style="100" customWidth="1"/>
    <col min="9972" max="10220" width="9.140625" style="100"/>
    <col min="10221" max="10221" width="5.28515625" style="100" customWidth="1"/>
    <col min="10222" max="10222" width="56.5703125" style="100" customWidth="1"/>
    <col min="10223" max="10223" width="6.28515625" style="100" customWidth="1"/>
    <col min="10224" max="10224" width="9" style="100" customWidth="1"/>
    <col min="10225" max="10225" width="13.7109375" style="100" customWidth="1"/>
    <col min="10226" max="10226" width="12.28515625" style="100" customWidth="1"/>
    <col min="10227" max="10227" width="20.140625" style="100" customWidth="1"/>
    <col min="10228" max="10476" width="9.140625" style="100"/>
    <col min="10477" max="10477" width="5.28515625" style="100" customWidth="1"/>
    <col min="10478" max="10478" width="56.5703125" style="100" customWidth="1"/>
    <col min="10479" max="10479" width="6.28515625" style="100" customWidth="1"/>
    <col min="10480" max="10480" width="9" style="100" customWidth="1"/>
    <col min="10481" max="10481" width="13.7109375" style="100" customWidth="1"/>
    <col min="10482" max="10482" width="12.28515625" style="100" customWidth="1"/>
    <col min="10483" max="10483" width="20.140625" style="100" customWidth="1"/>
    <col min="10484" max="10732" width="9.140625" style="100"/>
    <col min="10733" max="10733" width="5.28515625" style="100" customWidth="1"/>
    <col min="10734" max="10734" width="56.5703125" style="100" customWidth="1"/>
    <col min="10735" max="10735" width="6.28515625" style="100" customWidth="1"/>
    <col min="10736" max="10736" width="9" style="100" customWidth="1"/>
    <col min="10737" max="10737" width="13.7109375" style="100" customWidth="1"/>
    <col min="10738" max="10738" width="12.28515625" style="100" customWidth="1"/>
    <col min="10739" max="10739" width="20.140625" style="100" customWidth="1"/>
    <col min="10740" max="10988" width="9.140625" style="100"/>
    <col min="10989" max="10989" width="5.28515625" style="100" customWidth="1"/>
    <col min="10990" max="10990" width="56.5703125" style="100" customWidth="1"/>
    <col min="10991" max="10991" width="6.28515625" style="100" customWidth="1"/>
    <col min="10992" max="10992" width="9" style="100" customWidth="1"/>
    <col min="10993" max="10993" width="13.7109375" style="100" customWidth="1"/>
    <col min="10994" max="10994" width="12.28515625" style="100" customWidth="1"/>
    <col min="10995" max="10995" width="20.140625" style="100" customWidth="1"/>
    <col min="10996" max="11244" width="9.140625" style="100"/>
    <col min="11245" max="11245" width="5.28515625" style="100" customWidth="1"/>
    <col min="11246" max="11246" width="56.5703125" style="100" customWidth="1"/>
    <col min="11247" max="11247" width="6.28515625" style="100" customWidth="1"/>
    <col min="11248" max="11248" width="9" style="100" customWidth="1"/>
    <col min="11249" max="11249" width="13.7109375" style="100" customWidth="1"/>
    <col min="11250" max="11250" width="12.28515625" style="100" customWidth="1"/>
    <col min="11251" max="11251" width="20.140625" style="100" customWidth="1"/>
    <col min="11252" max="11500" width="9.140625" style="100"/>
    <col min="11501" max="11501" width="5.28515625" style="100" customWidth="1"/>
    <col min="11502" max="11502" width="56.5703125" style="100" customWidth="1"/>
    <col min="11503" max="11503" width="6.28515625" style="100" customWidth="1"/>
    <col min="11504" max="11504" width="9" style="100" customWidth="1"/>
    <col min="11505" max="11505" width="13.7109375" style="100" customWidth="1"/>
    <col min="11506" max="11506" width="12.28515625" style="100" customWidth="1"/>
    <col min="11507" max="11507" width="20.140625" style="100" customWidth="1"/>
    <col min="11508" max="11756" width="9.140625" style="100"/>
    <col min="11757" max="11757" width="5.28515625" style="100" customWidth="1"/>
    <col min="11758" max="11758" width="56.5703125" style="100" customWidth="1"/>
    <col min="11759" max="11759" width="6.28515625" style="100" customWidth="1"/>
    <col min="11760" max="11760" width="9" style="100" customWidth="1"/>
    <col min="11761" max="11761" width="13.7109375" style="100" customWidth="1"/>
    <col min="11762" max="11762" width="12.28515625" style="100" customWidth="1"/>
    <col min="11763" max="11763" width="20.140625" style="100" customWidth="1"/>
    <col min="11764" max="12012" width="9.140625" style="100"/>
    <col min="12013" max="12013" width="5.28515625" style="100" customWidth="1"/>
    <col min="12014" max="12014" width="56.5703125" style="100" customWidth="1"/>
    <col min="12015" max="12015" width="6.28515625" style="100" customWidth="1"/>
    <col min="12016" max="12016" width="9" style="100" customWidth="1"/>
    <col min="12017" max="12017" width="13.7109375" style="100" customWidth="1"/>
    <col min="12018" max="12018" width="12.28515625" style="100" customWidth="1"/>
    <col min="12019" max="12019" width="20.140625" style="100" customWidth="1"/>
    <col min="12020" max="12268" width="9.140625" style="100"/>
    <col min="12269" max="12269" width="5.28515625" style="100" customWidth="1"/>
    <col min="12270" max="12270" width="56.5703125" style="100" customWidth="1"/>
    <col min="12271" max="12271" width="6.28515625" style="100" customWidth="1"/>
    <col min="12272" max="12272" width="9" style="100" customWidth="1"/>
    <col min="12273" max="12273" width="13.7109375" style="100" customWidth="1"/>
    <col min="12274" max="12274" width="12.28515625" style="100" customWidth="1"/>
    <col min="12275" max="12275" width="20.140625" style="100" customWidth="1"/>
    <col min="12276" max="12524" width="9.140625" style="100"/>
    <col min="12525" max="12525" width="5.28515625" style="100" customWidth="1"/>
    <col min="12526" max="12526" width="56.5703125" style="100" customWidth="1"/>
    <col min="12527" max="12527" width="6.28515625" style="100" customWidth="1"/>
    <col min="12528" max="12528" width="9" style="100" customWidth="1"/>
    <col min="12529" max="12529" width="13.7109375" style="100" customWidth="1"/>
    <col min="12530" max="12530" width="12.28515625" style="100" customWidth="1"/>
    <col min="12531" max="12531" width="20.140625" style="100" customWidth="1"/>
    <col min="12532" max="12780" width="9.140625" style="100"/>
    <col min="12781" max="12781" width="5.28515625" style="100" customWidth="1"/>
    <col min="12782" max="12782" width="56.5703125" style="100" customWidth="1"/>
    <col min="12783" max="12783" width="6.28515625" style="100" customWidth="1"/>
    <col min="12784" max="12784" width="9" style="100" customWidth="1"/>
    <col min="12785" max="12785" width="13.7109375" style="100" customWidth="1"/>
    <col min="12786" max="12786" width="12.28515625" style="100" customWidth="1"/>
    <col min="12787" max="12787" width="20.140625" style="100" customWidth="1"/>
    <col min="12788" max="13036" width="9.140625" style="100"/>
    <col min="13037" max="13037" width="5.28515625" style="100" customWidth="1"/>
    <col min="13038" max="13038" width="56.5703125" style="100" customWidth="1"/>
    <col min="13039" max="13039" width="6.28515625" style="100" customWidth="1"/>
    <col min="13040" max="13040" width="9" style="100" customWidth="1"/>
    <col min="13041" max="13041" width="13.7109375" style="100" customWidth="1"/>
    <col min="13042" max="13042" width="12.28515625" style="100" customWidth="1"/>
    <col min="13043" max="13043" width="20.140625" style="100" customWidth="1"/>
    <col min="13044" max="13292" width="9.140625" style="100"/>
    <col min="13293" max="13293" width="5.28515625" style="100" customWidth="1"/>
    <col min="13294" max="13294" width="56.5703125" style="100" customWidth="1"/>
    <col min="13295" max="13295" width="6.28515625" style="100" customWidth="1"/>
    <col min="13296" max="13296" width="9" style="100" customWidth="1"/>
    <col min="13297" max="13297" width="13.7109375" style="100" customWidth="1"/>
    <col min="13298" max="13298" width="12.28515625" style="100" customWidth="1"/>
    <col min="13299" max="13299" width="20.140625" style="100" customWidth="1"/>
    <col min="13300" max="13548" width="9.140625" style="100"/>
    <col min="13549" max="13549" width="5.28515625" style="100" customWidth="1"/>
    <col min="13550" max="13550" width="56.5703125" style="100" customWidth="1"/>
    <col min="13551" max="13551" width="6.28515625" style="100" customWidth="1"/>
    <col min="13552" max="13552" width="9" style="100" customWidth="1"/>
    <col min="13553" max="13553" width="13.7109375" style="100" customWidth="1"/>
    <col min="13554" max="13554" width="12.28515625" style="100" customWidth="1"/>
    <col min="13555" max="13555" width="20.140625" style="100" customWidth="1"/>
    <col min="13556" max="13804" width="9.140625" style="100"/>
    <col min="13805" max="13805" width="5.28515625" style="100" customWidth="1"/>
    <col min="13806" max="13806" width="56.5703125" style="100" customWidth="1"/>
    <col min="13807" max="13807" width="6.28515625" style="100" customWidth="1"/>
    <col min="13808" max="13808" width="9" style="100" customWidth="1"/>
    <col min="13809" max="13809" width="13.7109375" style="100" customWidth="1"/>
    <col min="13810" max="13810" width="12.28515625" style="100" customWidth="1"/>
    <col min="13811" max="13811" width="20.140625" style="100" customWidth="1"/>
    <col min="13812" max="14060" width="9.140625" style="100"/>
    <col min="14061" max="14061" width="5.28515625" style="100" customWidth="1"/>
    <col min="14062" max="14062" width="56.5703125" style="100" customWidth="1"/>
    <col min="14063" max="14063" width="6.28515625" style="100" customWidth="1"/>
    <col min="14064" max="14064" width="9" style="100" customWidth="1"/>
    <col min="14065" max="14065" width="13.7109375" style="100" customWidth="1"/>
    <col min="14066" max="14066" width="12.28515625" style="100" customWidth="1"/>
    <col min="14067" max="14067" width="20.140625" style="100" customWidth="1"/>
    <col min="14068" max="14316" width="9.140625" style="100"/>
    <col min="14317" max="14317" width="5.28515625" style="100" customWidth="1"/>
    <col min="14318" max="14318" width="56.5703125" style="100" customWidth="1"/>
    <col min="14319" max="14319" width="6.28515625" style="100" customWidth="1"/>
    <col min="14320" max="14320" width="9" style="100" customWidth="1"/>
    <col min="14321" max="14321" width="13.7109375" style="100" customWidth="1"/>
    <col min="14322" max="14322" width="12.28515625" style="100" customWidth="1"/>
    <col min="14323" max="14323" width="20.140625" style="100" customWidth="1"/>
    <col min="14324" max="14572" width="9.140625" style="100"/>
    <col min="14573" max="14573" width="5.28515625" style="100" customWidth="1"/>
    <col min="14574" max="14574" width="56.5703125" style="100" customWidth="1"/>
    <col min="14575" max="14575" width="6.28515625" style="100" customWidth="1"/>
    <col min="14576" max="14576" width="9" style="100" customWidth="1"/>
    <col min="14577" max="14577" width="13.7109375" style="100" customWidth="1"/>
    <col min="14578" max="14578" width="12.28515625" style="100" customWidth="1"/>
    <col min="14579" max="14579" width="20.140625" style="100" customWidth="1"/>
    <col min="14580" max="14828" width="9.140625" style="100"/>
    <col min="14829" max="14829" width="5.28515625" style="100" customWidth="1"/>
    <col min="14830" max="14830" width="56.5703125" style="100" customWidth="1"/>
    <col min="14831" max="14831" width="6.28515625" style="100" customWidth="1"/>
    <col min="14832" max="14832" width="9" style="100" customWidth="1"/>
    <col min="14833" max="14833" width="13.7109375" style="100" customWidth="1"/>
    <col min="14834" max="14834" width="12.28515625" style="100" customWidth="1"/>
    <col min="14835" max="14835" width="20.140625" style="100" customWidth="1"/>
    <col min="14836" max="15084" width="9.140625" style="100"/>
    <col min="15085" max="15085" width="5.28515625" style="100" customWidth="1"/>
    <col min="15086" max="15086" width="56.5703125" style="100" customWidth="1"/>
    <col min="15087" max="15087" width="6.28515625" style="100" customWidth="1"/>
    <col min="15088" max="15088" width="9" style="100" customWidth="1"/>
    <col min="15089" max="15089" width="13.7109375" style="100" customWidth="1"/>
    <col min="15090" max="15090" width="12.28515625" style="100" customWidth="1"/>
    <col min="15091" max="15091" width="20.140625" style="100" customWidth="1"/>
    <col min="15092" max="15340" width="9.140625" style="100"/>
    <col min="15341" max="15341" width="5.28515625" style="100" customWidth="1"/>
    <col min="15342" max="15342" width="56.5703125" style="100" customWidth="1"/>
    <col min="15343" max="15343" width="6.28515625" style="100" customWidth="1"/>
    <col min="15344" max="15344" width="9" style="100" customWidth="1"/>
    <col min="15345" max="15345" width="13.7109375" style="100" customWidth="1"/>
    <col min="15346" max="15346" width="12.28515625" style="100" customWidth="1"/>
    <col min="15347" max="15347" width="20.140625" style="100" customWidth="1"/>
    <col min="15348" max="15596" width="9.140625" style="100"/>
    <col min="15597" max="15597" width="5.28515625" style="100" customWidth="1"/>
    <col min="15598" max="15598" width="56.5703125" style="100" customWidth="1"/>
    <col min="15599" max="15599" width="6.28515625" style="100" customWidth="1"/>
    <col min="15600" max="15600" width="9" style="100" customWidth="1"/>
    <col min="15601" max="15601" width="13.7109375" style="100" customWidth="1"/>
    <col min="15602" max="15602" width="12.28515625" style="100" customWidth="1"/>
    <col min="15603" max="15603" width="20.140625" style="100" customWidth="1"/>
    <col min="15604" max="15852" width="9.140625" style="100"/>
    <col min="15853" max="15853" width="5.28515625" style="100" customWidth="1"/>
    <col min="15854" max="15854" width="56.5703125" style="100" customWidth="1"/>
    <col min="15855" max="15855" width="6.28515625" style="100" customWidth="1"/>
    <col min="15856" max="15856" width="9" style="100" customWidth="1"/>
    <col min="15857" max="15857" width="13.7109375" style="100" customWidth="1"/>
    <col min="15858" max="15858" width="12.28515625" style="100" customWidth="1"/>
    <col min="15859" max="15859" width="20.140625" style="100" customWidth="1"/>
    <col min="15860" max="16108" width="9.140625" style="100"/>
    <col min="16109" max="16109" width="5.28515625" style="100" customWidth="1"/>
    <col min="16110" max="16110" width="56.5703125" style="100" customWidth="1"/>
    <col min="16111" max="16111" width="6.28515625" style="100" customWidth="1"/>
    <col min="16112" max="16112" width="9" style="100" customWidth="1"/>
    <col min="16113" max="16113" width="13.7109375" style="100" customWidth="1"/>
    <col min="16114" max="16114" width="12.28515625" style="100" customWidth="1"/>
    <col min="16115" max="16115" width="20.140625" style="100" customWidth="1"/>
    <col min="16116" max="16384" width="9.140625" style="100"/>
  </cols>
  <sheetData>
    <row r="1" spans="1:8" s="99" customFormat="1" ht="24" customHeight="1">
      <c r="A1" s="853" t="s">
        <v>200</v>
      </c>
      <c r="B1" s="853"/>
      <c r="C1" s="853"/>
      <c r="D1" s="853"/>
      <c r="E1" s="853"/>
      <c r="F1" s="853"/>
    </row>
    <row r="2" spans="1:8" ht="23.25" customHeight="1" thickBot="1">
      <c r="A2" s="854" t="s">
        <v>285</v>
      </c>
      <c r="B2" s="854"/>
      <c r="C2" s="854"/>
      <c r="D2" s="854"/>
      <c r="E2" s="854"/>
      <c r="F2" s="854"/>
    </row>
    <row r="3" spans="1:8" s="99" customFormat="1" ht="56.25" customHeight="1" thickBot="1">
      <c r="A3" s="127" t="s">
        <v>0</v>
      </c>
      <c r="B3" s="128" t="s">
        <v>70</v>
      </c>
      <c r="C3" s="129" t="s">
        <v>126</v>
      </c>
      <c r="D3" s="199" t="s">
        <v>318</v>
      </c>
      <c r="E3" s="130" t="s">
        <v>127</v>
      </c>
      <c r="F3" s="131" t="s">
        <v>128</v>
      </c>
    </row>
    <row r="4" spans="1:8" s="111" customFormat="1" ht="30">
      <c r="A4" s="109"/>
      <c r="B4" s="125" t="s">
        <v>185</v>
      </c>
      <c r="C4" s="109"/>
      <c r="D4" s="201"/>
      <c r="E4" s="108"/>
      <c r="F4" s="110"/>
    </row>
    <row r="5" spans="1:8" ht="28.5" customHeight="1">
      <c r="A5" s="105">
        <v>6</v>
      </c>
      <c r="B5" s="114" t="s">
        <v>187</v>
      </c>
      <c r="C5" s="210">
        <v>2</v>
      </c>
      <c r="D5" s="200">
        <v>490</v>
      </c>
      <c r="E5" s="211">
        <f>C5*D5</f>
        <v>980</v>
      </c>
      <c r="F5" s="212">
        <f>E5*12</f>
        <v>11760</v>
      </c>
    </row>
    <row r="6" spans="1:8" s="99" customFormat="1" ht="24" customHeight="1">
      <c r="A6" s="116"/>
      <c r="B6" s="108" t="s">
        <v>319</v>
      </c>
      <c r="C6" s="116"/>
      <c r="D6" s="202"/>
      <c r="E6" s="115"/>
      <c r="F6" s="117"/>
    </row>
    <row r="7" spans="1:8" ht="33.75" customHeight="1">
      <c r="A7" s="105">
        <v>1</v>
      </c>
      <c r="B7" s="114" t="s">
        <v>320</v>
      </c>
      <c r="C7" s="105">
        <v>1</v>
      </c>
      <c r="D7" s="200">
        <v>800</v>
      </c>
      <c r="E7" s="104">
        <f>C7*D7</f>
        <v>800</v>
      </c>
      <c r="F7" s="212">
        <f>E7*12</f>
        <v>9600</v>
      </c>
    </row>
    <row r="8" spans="1:8" ht="33.75" customHeight="1">
      <c r="A8" s="105">
        <v>2</v>
      </c>
      <c r="B8" s="114" t="s">
        <v>321</v>
      </c>
      <c r="C8" s="104">
        <v>1</v>
      </c>
      <c r="D8" s="200">
        <v>500</v>
      </c>
      <c r="E8" s="104">
        <f>C8*D8</f>
        <v>500</v>
      </c>
      <c r="F8" s="212">
        <f>E8*12</f>
        <v>6000</v>
      </c>
    </row>
    <row r="9" spans="1:8" ht="33.75" customHeight="1">
      <c r="A9" s="105">
        <v>3</v>
      </c>
      <c r="B9" s="114" t="s">
        <v>322</v>
      </c>
      <c r="C9" s="104">
        <v>1</v>
      </c>
      <c r="D9" s="200">
        <v>500</v>
      </c>
      <c r="E9" s="104">
        <f>C9*D9</f>
        <v>500</v>
      </c>
      <c r="F9" s="212">
        <f>E9*12</f>
        <v>6000</v>
      </c>
    </row>
    <row r="10" spans="1:8" s="101" customFormat="1" ht="22.5" customHeight="1" thickBot="1">
      <c r="A10" s="120"/>
      <c r="B10" s="123" t="s">
        <v>100</v>
      </c>
      <c r="C10" s="122">
        <f>SUM(C7:C9)</f>
        <v>3</v>
      </c>
      <c r="D10" s="205"/>
      <c r="E10" s="123">
        <f>SUM(E7:E9)</f>
        <v>1800</v>
      </c>
      <c r="F10" s="213">
        <f>SUM(F7:F9)</f>
        <v>21600</v>
      </c>
      <c r="G10" s="100"/>
      <c r="H10" s="100"/>
    </row>
    <row r="11" spans="1:8" s="99" customFormat="1" ht="15">
      <c r="A11" s="100"/>
      <c r="B11" s="100"/>
      <c r="C11" s="101"/>
      <c r="D11" s="203"/>
      <c r="E11" s="100"/>
      <c r="F11" s="119"/>
      <c r="G11" s="100"/>
    </row>
    <row r="12" spans="1:8" ht="30" customHeight="1" thickBot="1">
      <c r="A12" s="855" t="s">
        <v>198</v>
      </c>
      <c r="B12" s="855"/>
      <c r="C12" s="855"/>
      <c r="D12" s="855"/>
      <c r="E12" s="855"/>
      <c r="F12" s="855"/>
    </row>
    <row r="13" spans="1:8" s="99" customFormat="1" ht="70.5" thickBot="1">
      <c r="A13" s="127" t="s">
        <v>0</v>
      </c>
      <c r="B13" s="128" t="s">
        <v>201</v>
      </c>
      <c r="C13" s="129" t="s">
        <v>98</v>
      </c>
      <c r="D13" s="204" t="s">
        <v>318</v>
      </c>
      <c r="E13" s="130" t="s">
        <v>127</v>
      </c>
      <c r="F13" s="133" t="s">
        <v>128</v>
      </c>
    </row>
    <row r="14" spans="1:8" ht="33.75" customHeight="1">
      <c r="A14" s="105">
        <v>1</v>
      </c>
      <c r="B14" s="96" t="s">
        <v>323</v>
      </c>
      <c r="C14" s="103">
        <v>6</v>
      </c>
      <c r="D14" s="200">
        <v>550</v>
      </c>
      <c r="E14" s="102">
        <f>C14*D14</f>
        <v>3300</v>
      </c>
      <c r="F14" s="132">
        <f>E14*12</f>
        <v>39600</v>
      </c>
    </row>
    <row r="15" spans="1:8" ht="23.25" customHeight="1" thickBot="1">
      <c r="A15" s="120"/>
      <c r="B15" s="121" t="s">
        <v>100</v>
      </c>
      <c r="C15" s="122">
        <f>SUM(C14:C14)</f>
        <v>6</v>
      </c>
      <c r="D15" s="205"/>
      <c r="E15" s="123">
        <f>SUM(E14:E14)</f>
        <v>3300</v>
      </c>
      <c r="F15" s="124">
        <f>SUM(F14:F14)</f>
        <v>39600</v>
      </c>
    </row>
    <row r="16" spans="1:8">
      <c r="F16" s="101"/>
    </row>
    <row r="17" spans="6:6">
      <c r="F17" s="101"/>
    </row>
    <row r="18" spans="6:6">
      <c r="F18" s="101"/>
    </row>
    <row r="19" spans="6:6">
      <c r="F19" s="101"/>
    </row>
    <row r="20" spans="6:6">
      <c r="F20" s="101"/>
    </row>
    <row r="21" spans="6:6">
      <c r="F21" s="101"/>
    </row>
    <row r="22" spans="6:6">
      <c r="F22" s="101"/>
    </row>
    <row r="23" spans="6:6">
      <c r="F23" s="101"/>
    </row>
    <row r="24" spans="6:6">
      <c r="F24" s="101"/>
    </row>
  </sheetData>
  <mergeCells count="3">
    <mergeCell ref="A1:F1"/>
    <mergeCell ref="A2:F2"/>
    <mergeCell ref="A12:F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7</vt:i4>
      </vt:variant>
    </vt:vector>
  </HeadingPairs>
  <TitlesOfParts>
    <vt:vector size="16" baseType="lpstr">
      <vt:lpstr>სხვაობა ჯამური</vt:lpstr>
      <vt:lpstr>Лист3</vt:lpstr>
      <vt:lpstr>პროექტი (2)</vt:lpstr>
      <vt:lpstr>არსებული ბაღები</vt:lpstr>
      <vt:lpstr>Лист1</vt:lpstr>
      <vt:lpstr>აიპების ბიუჯეტი</vt:lpstr>
      <vt:lpstr>Лист2</vt:lpstr>
      <vt:lpstr>transregulirebis uwyisis</vt:lpstr>
      <vt:lpstr>კულტურის ცენტრის ზრდა</vt:lpstr>
      <vt:lpstr>'transregulirebis uwyisis'!Область_печати</vt:lpstr>
      <vt:lpstr>Лист2!Область_печати</vt:lpstr>
      <vt:lpstr>Лист3!Область_печати</vt:lpstr>
      <vt:lpstr>'აიპების ბიუჯეტი'!Область_печати</vt:lpstr>
      <vt:lpstr>'არსებული ბაღები'!Область_печати</vt:lpstr>
      <vt:lpstr>'პროექტი (2)'!Область_печати</vt:lpstr>
      <vt:lpstr>'სხვაობა ჯამური'!Область_печати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lela</dc:creator>
  <cp:lastModifiedBy>mzia</cp:lastModifiedBy>
  <cp:lastPrinted>2026-04-07T13:27:47Z</cp:lastPrinted>
  <dcterms:created xsi:type="dcterms:W3CDTF">2018-01-15T08:18:33Z</dcterms:created>
  <dcterms:modified xsi:type="dcterms:W3CDTF">2026-04-07T13:28:49Z</dcterms:modified>
</cp:coreProperties>
</file>